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570" windowWidth="28455" windowHeight="1195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ФХД'!$H$91:$J$91</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ФХД'!$92:$100</definedName>
    <definedName name="BLOCK_POK_FHD_COLDVSNA_P2">'Показатели ФХД'!$201:$205</definedName>
    <definedName name="BLOCK_POK_FHD_HEAT_ONLY_REG_ORG_P1">'Показатели ФХД'!$62:$63</definedName>
    <definedName name="BLOCK_POK_FHD_HEAT_ONLY_REG_ORG_P2">'Показатели ФХД'!$90:$293</definedName>
    <definedName name="BLOCK_POK_FHD_HEAT_P1">'Показатели ФХД'!$33:$46</definedName>
    <definedName name="BLOCK_POK_FHD_HEAT_P2">'Показатели ФХД'!$82:$82</definedName>
    <definedName name="BLOCK_POK_FHD_HEAT_P3">'Показатели ФХД'!$109:$197</definedName>
    <definedName name="BLOCK_POK_FHD_HEAT_P4">'Показатели ФХД'!$199:$199</definedName>
    <definedName name="BLOCK_POK_FHD_HEAT_P5">'Показатели ФХД'!$206:$292</definedName>
    <definedName name="BLOCK_POK_FHD_HEAT_P6">'Показатели ФХД'!$53:$53</definedName>
    <definedName name="BLOCK_POK_FHD_HOTVSNA_P1">'Показатели ФХД'!$47:$49</definedName>
    <definedName name="BLOCK_POK_FHD_HOTVSNA_P2">'Показатели ФХД'!$101:$105</definedName>
    <definedName name="BLOCK_POK_FHD_NOT_HEAT_P1">'Показатели ФХД'!$73:$74</definedName>
    <definedName name="BLOCK_POK_FHD_NOT_HEAT_P2">'Показатели ФХД'!$90:$90</definedName>
    <definedName name="BLOCK_POK_FHD_NOT_HOTVSNA">'Показатели ФХД'!$54:$54</definedName>
    <definedName name="BLOCK_POK_FHD_VOTV_P1">'Показатели ФХД'!$106:$108</definedName>
    <definedName name="BLOCK_POK_FHD_VSNA">'Показатели ФХД'!$200:$200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Детализация'!$14:$73</definedName>
    <definedName name="IP_DETAILED_IST_FIN_FACT_COLUMN_MARKER">'ИП. Детализация'!$AD$7</definedName>
    <definedName name="IP_DETAILED_LIST_IP_ID">'ИП. Детализация'!$A$74:$A$74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план'!$K$11:$P$11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ФХД'!$F$81</definedName>
    <definedName name="pIns_B_FHD_3">'Показатели ФХД'!$F$187</definedName>
    <definedName name="pIns_B_FHD_4">'Показатели ФХД'!$F$205</definedName>
    <definedName name="pIns_B_FHD_5">'Показатели ФХД'!$F$284</definedName>
    <definedName name="pIns_B_FHD_6">'Показатели ФХД'!$F$287</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Детализация'!$F$74</definedName>
    <definedName name="pIns_IP_FIN_PLAN">'ИП. Финансовый план'!$Q$8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REESTR_OBJ_INFR!$A$2:$AL$77</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ФХД'!$J$293</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Детализация'!$AH$74</definedName>
    <definedName name="tblEnd_1_IP_FIN_PLAN">'ИП. Финансовый план'!$Q$58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292" i="33" s="1"/>
  <c r="J101" i="63"/>
  <c r="M101" s="1"/>
  <c r="F292" i="33" s="1"/>
  <c r="I101" i="63"/>
  <c r="L101" s="1"/>
  <c r="E292" i="33" s="1"/>
  <c r="N100" i="63"/>
  <c r="M100"/>
  <c r="K100"/>
  <c r="J100"/>
  <c r="I100"/>
  <c r="L100" s="1"/>
  <c r="E291" i="33" s="1"/>
  <c r="L99" i="63"/>
  <c r="K99"/>
  <c r="N99" s="1"/>
  <c r="J290" i="33" s="1"/>
  <c r="J99" i="63"/>
  <c r="M99" s="1"/>
  <c r="F290" i="33" s="1"/>
  <c r="I99" i="63"/>
  <c r="K98"/>
  <c r="N98" s="1"/>
  <c r="J289" i="33" s="1"/>
  <c r="J98" i="63"/>
  <c r="M98" s="1"/>
  <c r="F289" i="33" s="1"/>
  <c r="I98" i="63"/>
  <c r="L98" s="1"/>
  <c r="E289" i="33" s="1"/>
  <c r="K97" i="63"/>
  <c r="N97" s="1"/>
  <c r="J288" i="33" s="1"/>
  <c r="J97" i="63"/>
  <c r="M97" s="1"/>
  <c r="F288" i="33" s="1"/>
  <c r="I97" i="63"/>
  <c r="L97" s="1"/>
  <c r="E288" i="33" s="1"/>
  <c r="N96" i="63"/>
  <c r="M96"/>
  <c r="K96"/>
  <c r="J96"/>
  <c r="I96"/>
  <c r="L96" s="1"/>
  <c r="E285" i="33" s="1"/>
  <c r="E286" s="1"/>
  <c r="L95" i="63"/>
  <c r="K95"/>
  <c r="N95" s="1"/>
  <c r="J206" i="33" s="1"/>
  <c r="J95" i="63"/>
  <c r="M95" s="1"/>
  <c r="F206" i="33" s="1"/>
  <c r="I95" i="63"/>
  <c r="K94"/>
  <c r="N94" s="1"/>
  <c r="J203" i="33" s="1"/>
  <c r="J94" i="63"/>
  <c r="M94" s="1"/>
  <c r="F203" i="33" s="1"/>
  <c r="I94" i="63"/>
  <c r="L94" s="1"/>
  <c r="E203" i="33" s="1"/>
  <c r="E204" s="1"/>
  <c r="K93" i="63"/>
  <c r="N93" s="1"/>
  <c r="J202" i="33" s="1"/>
  <c r="J93" i="63"/>
  <c r="M93" s="1"/>
  <c r="F202" i="33" s="1"/>
  <c r="I93" i="63"/>
  <c r="L93" s="1"/>
  <c r="E202" i="33" s="1"/>
  <c r="N92" i="63"/>
  <c r="M92"/>
  <c r="K92"/>
  <c r="J92"/>
  <c r="I92"/>
  <c r="L92" s="1"/>
  <c r="E201" i="33" s="1"/>
  <c r="L91" i="63"/>
  <c r="K91"/>
  <c r="N91" s="1"/>
  <c r="J200" i="33" s="1"/>
  <c r="J91" i="63"/>
  <c r="M91" s="1"/>
  <c r="F200" i="33" s="1"/>
  <c r="I91" i="63"/>
  <c r="K90"/>
  <c r="N90" s="1"/>
  <c r="J199" i="33" s="1"/>
  <c r="J90" i="63"/>
  <c r="M90" s="1"/>
  <c r="F199" i="33" s="1"/>
  <c r="I90" i="63"/>
  <c r="L90" s="1"/>
  <c r="E199" i="33" s="1"/>
  <c r="K89" i="63"/>
  <c r="N89" s="1"/>
  <c r="J198" i="33" s="1"/>
  <c r="J89" i="63"/>
  <c r="M89" s="1"/>
  <c r="F198" i="33" s="1"/>
  <c r="I89" i="63"/>
  <c r="L89" s="1"/>
  <c r="E198" i="33" s="1"/>
  <c r="M88" i="63"/>
  <c r="K88"/>
  <c r="N88" s="1"/>
  <c r="J197" i="33" s="1"/>
  <c r="J88" i="63"/>
  <c r="I88"/>
  <c r="L88" s="1"/>
  <c r="E197" i="33" s="1"/>
  <c r="L87" i="63"/>
  <c r="K87"/>
  <c r="N87" s="1"/>
  <c r="J196" i="33" s="1"/>
  <c r="J87" i="63"/>
  <c r="M87" s="1"/>
  <c r="F196" i="33" s="1"/>
  <c r="I87" i="63"/>
  <c r="N86"/>
  <c r="K86"/>
  <c r="J86"/>
  <c r="M86" s="1"/>
  <c r="F195" i="33" s="1"/>
  <c r="I86" i="63"/>
  <c r="L86" s="1"/>
  <c r="E195" i="33" s="1"/>
  <c r="K85" i="63"/>
  <c r="N85" s="1"/>
  <c r="J194" i="33" s="1"/>
  <c r="J85" i="63"/>
  <c r="M85" s="1"/>
  <c r="F194" i="33" s="1"/>
  <c r="I85" i="63"/>
  <c r="L85" s="1"/>
  <c r="E194" i="33" s="1"/>
  <c r="N84" i="63"/>
  <c r="K84"/>
  <c r="J84"/>
  <c r="M84" s="1"/>
  <c r="F193" i="33" s="1"/>
  <c r="I84" i="63"/>
  <c r="L84" s="1"/>
  <c r="E193" i="33" s="1"/>
  <c r="L83" i="63"/>
  <c r="E192" i="33" s="1"/>
  <c r="K83" i="63"/>
  <c r="N83" s="1"/>
  <c r="J192" i="33" s="1"/>
  <c r="J83" i="63"/>
  <c r="M83" s="1"/>
  <c r="F192" i="33" s="1"/>
  <c r="I83" i="63"/>
  <c r="K82"/>
  <c r="N82" s="1"/>
  <c r="J191" i="33" s="1"/>
  <c r="J82" i="63"/>
  <c r="M82" s="1"/>
  <c r="F191" i="33" s="1"/>
  <c r="I82" i="63"/>
  <c r="L82" s="1"/>
  <c r="E191" i="33" s="1"/>
  <c r="K81" i="63"/>
  <c r="N81" s="1"/>
  <c r="J190" i="33" s="1"/>
  <c r="J81" i="63"/>
  <c r="M81" s="1"/>
  <c r="F190" i="33" s="1"/>
  <c r="I81" i="63"/>
  <c r="L81" s="1"/>
  <c r="E190" i="33" s="1"/>
  <c r="N80" i="63"/>
  <c r="K80"/>
  <c r="J80"/>
  <c r="M80" s="1"/>
  <c r="F189" i="33" s="1"/>
  <c r="I80" i="63"/>
  <c r="L80" s="1"/>
  <c r="E189" i="33" s="1"/>
  <c r="L79" i="63"/>
  <c r="K79"/>
  <c r="N79" s="1"/>
  <c r="J188" i="33" s="1"/>
  <c r="J79" i="63"/>
  <c r="M79" s="1"/>
  <c r="F188" i="33" s="1"/>
  <c r="I79" i="63"/>
  <c r="K78"/>
  <c r="N78" s="1"/>
  <c r="J109" i="33" s="1"/>
  <c r="J78" i="63"/>
  <c r="M78" s="1"/>
  <c r="F109" i="33" s="1"/>
  <c r="I78" i="63"/>
  <c r="L78" s="1"/>
  <c r="E109" i="33" s="1"/>
  <c r="K77" i="63"/>
  <c r="N77" s="1"/>
  <c r="J108" i="33" s="1"/>
  <c r="J77" i="63"/>
  <c r="M77" s="1"/>
  <c r="F108" i="33" s="1"/>
  <c r="I77" i="63"/>
  <c r="L77" s="1"/>
  <c r="E108" i="33" s="1"/>
  <c r="N76" i="63"/>
  <c r="K76"/>
  <c r="J76"/>
  <c r="M76" s="1"/>
  <c r="F107" i="33" s="1"/>
  <c r="I76" i="63"/>
  <c r="L76" s="1"/>
  <c r="E107" i="33" s="1"/>
  <c r="L75" i="63"/>
  <c r="K75"/>
  <c r="N75" s="1"/>
  <c r="J106" i="33" s="1"/>
  <c r="J75" i="63"/>
  <c r="M75" s="1"/>
  <c r="F106" i="33" s="1"/>
  <c r="I75" i="63"/>
  <c r="K74"/>
  <c r="N74" s="1"/>
  <c r="J105" i="33" s="1"/>
  <c r="J74" i="63"/>
  <c r="M74" s="1"/>
  <c r="F105" i="33" s="1"/>
  <c r="I74" i="63"/>
  <c r="L74" s="1"/>
  <c r="E105" i="33" s="1"/>
  <c r="K73" i="63"/>
  <c r="N73" s="1"/>
  <c r="J104" i="33" s="1"/>
  <c r="J73" i="63"/>
  <c r="M73" s="1"/>
  <c r="F104" i="33" s="1"/>
  <c r="I73" i="63"/>
  <c r="L73" s="1"/>
  <c r="E104" i="33" s="1"/>
  <c r="N72" i="63"/>
  <c r="K72"/>
  <c r="J72"/>
  <c r="M72" s="1"/>
  <c r="F103" i="33" s="1"/>
  <c r="I72" i="63"/>
  <c r="L72" s="1"/>
  <c r="E103" i="33" s="1"/>
  <c r="L71" i="63"/>
  <c r="E102" i="33" s="1"/>
  <c r="K71" i="63"/>
  <c r="N71" s="1"/>
  <c r="J102" i="33" s="1"/>
  <c r="J71" i="63"/>
  <c r="M71" s="1"/>
  <c r="F102" i="33" s="1"/>
  <c r="I71" i="63"/>
  <c r="K70"/>
  <c r="N70" s="1"/>
  <c r="J101" i="33" s="1"/>
  <c r="J70" i="63"/>
  <c r="M70" s="1"/>
  <c r="F101" i="33" s="1"/>
  <c r="I70" i="63"/>
  <c r="L70" s="1"/>
  <c r="E101" i="33" s="1"/>
  <c r="K69" i="63"/>
  <c r="N69" s="1"/>
  <c r="J100" i="33" s="1"/>
  <c r="J69" i="63"/>
  <c r="M69" s="1"/>
  <c r="F100" i="33" s="1"/>
  <c r="I69" i="63"/>
  <c r="L69" s="1"/>
  <c r="E100" i="33" s="1"/>
  <c r="N68" i="63"/>
  <c r="K68"/>
  <c r="J68"/>
  <c r="M68" s="1"/>
  <c r="F99" i="33" s="1"/>
  <c r="I68" i="63"/>
  <c r="L68" s="1"/>
  <c r="E99" i="33" s="1"/>
  <c r="L67" i="63"/>
  <c r="K67"/>
  <c r="N67" s="1"/>
  <c r="J98" i="33" s="1"/>
  <c r="J67" i="63"/>
  <c r="M67" s="1"/>
  <c r="F98" i="33" s="1"/>
  <c r="I67" i="63"/>
  <c r="K66"/>
  <c r="N66" s="1"/>
  <c r="J97" i="33" s="1"/>
  <c r="J66" i="63"/>
  <c r="M66" s="1"/>
  <c r="F97" i="33" s="1"/>
  <c r="I66" i="63"/>
  <c r="L66" s="1"/>
  <c r="E97" i="33" s="1"/>
  <c r="K65" i="63"/>
  <c r="N65" s="1"/>
  <c r="J96" i="33" s="1"/>
  <c r="J65" i="63"/>
  <c r="M65" s="1"/>
  <c r="F96" i="33" s="1"/>
  <c r="I65" i="63"/>
  <c r="L65" s="1"/>
  <c r="E96" i="33" s="1"/>
  <c r="K64" i="63"/>
  <c r="N64" s="1"/>
  <c r="J95" i="33" s="1"/>
  <c r="J64" i="63"/>
  <c r="M64" s="1"/>
  <c r="F95" i="33" s="1"/>
  <c r="I64" i="63"/>
  <c r="L64" s="1"/>
  <c r="E95" i="33" s="1"/>
  <c r="M63" i="63"/>
  <c r="K63"/>
  <c r="N63" s="1"/>
  <c r="J94" i="33" s="1"/>
  <c r="J63" i="63"/>
  <c r="I63"/>
  <c r="L63" s="1"/>
  <c r="E94" i="33" s="1"/>
  <c r="K62" i="63"/>
  <c r="N62" s="1"/>
  <c r="J93" i="33" s="1"/>
  <c r="J62" i="63"/>
  <c r="M62" s="1"/>
  <c r="F93" i="33" s="1"/>
  <c r="I62" i="63"/>
  <c r="L62" s="1"/>
  <c r="E93" i="33" s="1"/>
  <c r="K61" i="63"/>
  <c r="N61" s="1"/>
  <c r="J92" i="33" s="1"/>
  <c r="J61" i="63"/>
  <c r="M61" s="1"/>
  <c r="F92" i="33" s="1"/>
  <c r="I61" i="63"/>
  <c r="L61" s="1"/>
  <c r="E92" i="33" s="1"/>
  <c r="N60" i="63"/>
  <c r="K60"/>
  <c r="J60"/>
  <c r="M60" s="1"/>
  <c r="F91" i="33" s="1"/>
  <c r="I60" i="63"/>
  <c r="L60" s="1"/>
  <c r="E91" i="33" s="1"/>
  <c r="L59" i="63"/>
  <c r="K59"/>
  <c r="N59" s="1"/>
  <c r="J90" i="33" s="1"/>
  <c r="J59" i="63"/>
  <c r="M59" s="1"/>
  <c r="F90" i="33" s="1"/>
  <c r="I59" i="63"/>
  <c r="T58"/>
  <c r="J58" s="1"/>
  <c r="M58" s="1"/>
  <c r="F89" i="33" s="1"/>
  <c r="K58" i="63"/>
  <c r="N58" s="1"/>
  <c r="J89" i="33" s="1"/>
  <c r="I58" i="63"/>
  <c r="L58" s="1"/>
  <c r="E89" i="33" s="1"/>
  <c r="T57" i="63"/>
  <c r="J57" s="1"/>
  <c r="M57" s="1"/>
  <c r="F88" i="33" s="1"/>
  <c r="K57" i="63"/>
  <c r="N57" s="1"/>
  <c r="J88" i="33" s="1"/>
  <c r="I57" i="63"/>
  <c r="L57" s="1"/>
  <c r="E88" i="33" s="1"/>
  <c r="T56" i="63"/>
  <c r="J56" s="1"/>
  <c r="M56" s="1"/>
  <c r="F87" i="33" s="1"/>
  <c r="K56" i="63"/>
  <c r="N56" s="1"/>
  <c r="J87" i="33" s="1"/>
  <c r="I56" i="63"/>
  <c r="L56" s="1"/>
  <c r="E87" i="33" s="1"/>
  <c r="T55" i="63"/>
  <c r="J55" s="1"/>
  <c r="M55" s="1"/>
  <c r="F86" i="33" s="1"/>
  <c r="L55" i="63"/>
  <c r="E86" i="33" s="1"/>
  <c r="K55" i="63"/>
  <c r="N55" s="1"/>
  <c r="J86" i="33" s="1"/>
  <c r="I55" i="63"/>
  <c r="K54"/>
  <c r="N54" s="1"/>
  <c r="J85" i="33" s="1"/>
  <c r="J54" i="63"/>
  <c r="M54" s="1"/>
  <c r="F85" i="33" s="1"/>
  <c r="I54" i="63"/>
  <c r="L54" s="1"/>
  <c r="E85" i="33" s="1"/>
  <c r="K53" i="63"/>
  <c r="N53" s="1"/>
  <c r="J84" i="33" s="1"/>
  <c r="J53" i="63"/>
  <c r="M53" s="1"/>
  <c r="F84" i="33" s="1"/>
  <c r="I53" i="63"/>
  <c r="L53" s="1"/>
  <c r="E84" i="33" s="1"/>
  <c r="N52" i="63"/>
  <c r="K52"/>
  <c r="J52"/>
  <c r="M52" s="1"/>
  <c r="F83" i="33" s="1"/>
  <c r="I52" i="63"/>
  <c r="L52" s="1"/>
  <c r="E83" i="33" s="1"/>
  <c r="N51" i="63"/>
  <c r="L51"/>
  <c r="E82" i="33" s="1"/>
  <c r="K51" i="63"/>
  <c r="J51"/>
  <c r="M51" s="1"/>
  <c r="F82" i="33" s="1"/>
  <c r="I51" i="63"/>
  <c r="L50"/>
  <c r="K50"/>
  <c r="N50" s="1"/>
  <c r="J75" i="33" s="1"/>
  <c r="J50" i="63"/>
  <c r="M50" s="1"/>
  <c r="F75" i="33" s="1"/>
  <c r="I50" i="63"/>
  <c r="K49"/>
  <c r="N49" s="1"/>
  <c r="J74" i="33" s="1"/>
  <c r="L74" s="1"/>
  <c r="J49" i="63"/>
  <c r="M49" s="1"/>
  <c r="F74" i="33" s="1"/>
  <c r="I49" i="63"/>
  <c r="L49" s="1"/>
  <c r="E74" i="33" s="1"/>
  <c r="K74" s="1"/>
  <c r="K48" i="63"/>
  <c r="N48" s="1"/>
  <c r="J73" i="33" s="1"/>
  <c r="J48" i="63"/>
  <c r="M48" s="1"/>
  <c r="F73" i="33" s="1"/>
  <c r="I48" i="63"/>
  <c r="L48" s="1"/>
  <c r="E73" i="33" s="1"/>
  <c r="K73" s="1"/>
  <c r="M47" i="63"/>
  <c r="F72" i="33" s="1"/>
  <c r="L47" i="63"/>
  <c r="K47"/>
  <c r="N47" s="1"/>
  <c r="J72" i="33" s="1"/>
  <c r="L72" s="1"/>
  <c r="J47" i="63"/>
  <c r="I47"/>
  <c r="T46"/>
  <c r="J46" s="1"/>
  <c r="M46" s="1"/>
  <c r="F71" i="33" s="1"/>
  <c r="K46" i="63"/>
  <c r="N46" s="1"/>
  <c r="J71" i="33" s="1"/>
  <c r="I46" i="63"/>
  <c r="L46" s="1"/>
  <c r="E71" i="33" s="1"/>
  <c r="K71" s="1"/>
  <c r="K45" i="63"/>
  <c r="N45" s="1"/>
  <c r="J70" i="33" s="1"/>
  <c r="J45" i="63"/>
  <c r="M45" s="1"/>
  <c r="F70" i="33" s="1"/>
  <c r="I45" i="63"/>
  <c r="L45" s="1"/>
  <c r="E70" i="33" s="1"/>
  <c r="K70" s="1"/>
  <c r="K44" i="63"/>
  <c r="N44" s="1"/>
  <c r="J69" i="33" s="1"/>
  <c r="J44" i="63"/>
  <c r="M44" s="1"/>
  <c r="F69" i="33" s="1"/>
  <c r="I44" i="63"/>
  <c r="L44" s="1"/>
  <c r="E69" i="33" s="1"/>
  <c r="K69" s="1"/>
  <c r="M43" i="63"/>
  <c r="K43"/>
  <c r="N43" s="1"/>
  <c r="J68" i="33" s="1"/>
  <c r="J43" i="63"/>
  <c r="I43"/>
  <c r="L43" s="1"/>
  <c r="E68" i="33" s="1"/>
  <c r="K68" s="1"/>
  <c r="M42" i="63"/>
  <c r="K42"/>
  <c r="N42" s="1"/>
  <c r="J67" i="33" s="1"/>
  <c r="J42" i="63"/>
  <c r="I42"/>
  <c r="L42" s="1"/>
  <c r="E67" i="33" s="1"/>
  <c r="K67" s="1"/>
  <c r="K41" i="63"/>
  <c r="N41" s="1"/>
  <c r="J66" i="33" s="1"/>
  <c r="J41" i="63"/>
  <c r="M41" s="1"/>
  <c r="F66" i="33" s="1"/>
  <c r="I41" i="63"/>
  <c r="L41" s="1"/>
  <c r="E66" i="33" s="1"/>
  <c r="K66" s="1"/>
  <c r="K40" i="63"/>
  <c r="N40" s="1"/>
  <c r="J65" i="33" s="1"/>
  <c r="J40" i="63"/>
  <c r="M40" s="1"/>
  <c r="F65" i="33" s="1"/>
  <c r="I40" i="63"/>
  <c r="L40" s="1"/>
  <c r="E65" i="33" s="1"/>
  <c r="K65" s="1"/>
  <c r="M39" i="63"/>
  <c r="F64" i="33" s="1"/>
  <c r="K39" i="63"/>
  <c r="N39" s="1"/>
  <c r="J64" i="33" s="1"/>
  <c r="J39" i="63"/>
  <c r="I39"/>
  <c r="L39" s="1"/>
  <c r="E64" i="33" s="1"/>
  <c r="K64" s="1"/>
  <c r="M38" i="63"/>
  <c r="K38"/>
  <c r="N38" s="1"/>
  <c r="J63" i="33" s="1"/>
  <c r="J38" i="63"/>
  <c r="I38"/>
  <c r="L38" s="1"/>
  <c r="E63" i="33" s="1"/>
  <c r="K63" s="1"/>
  <c r="K37" i="63"/>
  <c r="N37" s="1"/>
  <c r="J62" i="33" s="1"/>
  <c r="J37" i="63"/>
  <c r="M37" s="1"/>
  <c r="F62" i="33" s="1"/>
  <c r="I37" i="63"/>
  <c r="L37" s="1"/>
  <c r="E62" i="33" s="1"/>
  <c r="K62" s="1"/>
  <c r="K36" i="63"/>
  <c r="N36" s="1"/>
  <c r="J61" i="33" s="1"/>
  <c r="J36" i="63"/>
  <c r="M36" s="1"/>
  <c r="F61" i="33" s="1"/>
  <c r="I36" i="63"/>
  <c r="L36" s="1"/>
  <c r="E61" i="33" s="1"/>
  <c r="K61" s="1"/>
  <c r="T35" i="63"/>
  <c r="J35" s="1"/>
  <c r="M35" s="1"/>
  <c r="F60" i="33" s="1"/>
  <c r="N35" i="63"/>
  <c r="J60" i="33" s="1"/>
  <c r="K35" i="63"/>
  <c r="I35"/>
  <c r="L35" s="1"/>
  <c r="E60" i="33" s="1"/>
  <c r="K60" s="1"/>
  <c r="M34" i="63"/>
  <c r="K34"/>
  <c r="N34" s="1"/>
  <c r="J59" i="33" s="1"/>
  <c r="J34" i="63"/>
  <c r="I34"/>
  <c r="L34" s="1"/>
  <c r="E59" i="33" s="1"/>
  <c r="K59" s="1"/>
  <c r="T33" i="63"/>
  <c r="J33" s="1"/>
  <c r="M33" s="1"/>
  <c r="F58" i="33" s="1"/>
  <c r="L33" i="63"/>
  <c r="K33"/>
  <c r="N33" s="1"/>
  <c r="J58" i="33" s="1"/>
  <c r="I33" i="63"/>
  <c r="T32"/>
  <c r="L32"/>
  <c r="K32"/>
  <c r="N32" s="1"/>
  <c r="J57" i="33" s="1"/>
  <c r="J32" i="63"/>
  <c r="M32" s="1"/>
  <c r="F57" i="33" s="1"/>
  <c r="I32" i="63"/>
  <c r="K31"/>
  <c r="N31" s="1"/>
  <c r="J56" i="33" s="1"/>
  <c r="J31" i="63"/>
  <c r="M31" s="1"/>
  <c r="F56" i="33" s="1"/>
  <c r="I31" i="63"/>
  <c r="L31" s="1"/>
  <c r="E56" i="33" s="1"/>
  <c r="K56" s="1"/>
  <c r="K30" i="63"/>
  <c r="N30" s="1"/>
  <c r="J55" i="33" s="1"/>
  <c r="J30" i="63"/>
  <c r="M30" s="1"/>
  <c r="F55" i="33" s="1"/>
  <c r="I30" i="63"/>
  <c r="L30" s="1"/>
  <c r="E55" i="33" s="1"/>
  <c r="K55" s="1"/>
  <c r="T29" i="63"/>
  <c r="J29" s="1"/>
  <c r="M29" s="1"/>
  <c r="F54" i="33" s="1"/>
  <c r="K29" i="63"/>
  <c r="N29" s="1"/>
  <c r="J54" i="33" s="1"/>
  <c r="I29" i="63"/>
  <c r="L29" s="1"/>
  <c r="E54" i="33" s="1"/>
  <c r="K54" s="1"/>
  <c r="L28" i="63"/>
  <c r="K28"/>
  <c r="N28" s="1"/>
  <c r="J53" i="33" s="1"/>
  <c r="J28" i="63"/>
  <c r="M28" s="1"/>
  <c r="F53" i="33" s="1"/>
  <c r="I28" i="63"/>
  <c r="K27"/>
  <c r="N27" s="1"/>
  <c r="J52" i="33" s="1"/>
  <c r="J27" i="63"/>
  <c r="M27" s="1"/>
  <c r="F52" i="33" s="1"/>
  <c r="I27" i="63"/>
  <c r="L27" s="1"/>
  <c r="E52" i="33" s="1"/>
  <c r="K52" s="1"/>
  <c r="T26" i="63"/>
  <c r="J26" s="1"/>
  <c r="M26" s="1"/>
  <c r="F51" i="33" s="1"/>
  <c r="K26" i="63"/>
  <c r="N26" s="1"/>
  <c r="J51" i="33" s="1"/>
  <c r="I26" i="63"/>
  <c r="L26" s="1"/>
  <c r="E51" i="33" s="1"/>
  <c r="K51" s="1"/>
  <c r="N25" i="63"/>
  <c r="K25"/>
  <c r="J25"/>
  <c r="M25" s="1"/>
  <c r="F50" i="33" s="1"/>
  <c r="I25" i="63"/>
  <c r="L25" s="1"/>
  <c r="E50" i="33" s="1"/>
  <c r="K50" s="1"/>
  <c r="M24" i="63"/>
  <c r="K24"/>
  <c r="N24" s="1"/>
  <c r="J49" i="33" s="1"/>
  <c r="J24" i="63"/>
  <c r="I24"/>
  <c r="L24" s="1"/>
  <c r="E49" i="33" s="1"/>
  <c r="K49" s="1"/>
  <c r="K23" i="63"/>
  <c r="N23" s="1"/>
  <c r="J48" i="33" s="1"/>
  <c r="J23" i="63"/>
  <c r="M23" s="1"/>
  <c r="F48" i="33" s="1"/>
  <c r="I23" i="63"/>
  <c r="L23" s="1"/>
  <c r="E48" i="33" s="1"/>
  <c r="K48" s="1"/>
  <c r="K22" i="63"/>
  <c r="N22" s="1"/>
  <c r="J47" i="33" s="1"/>
  <c r="J22" i="63"/>
  <c r="M22" s="1"/>
  <c r="F47" i="33" s="1"/>
  <c r="I22" i="63"/>
  <c r="L22" s="1"/>
  <c r="E47" i="33" s="1"/>
  <c r="K47" s="1"/>
  <c r="K21" i="63"/>
  <c r="N21" s="1"/>
  <c r="J33" i="33" s="1"/>
  <c r="J21" i="63"/>
  <c r="M21" s="1"/>
  <c r="F33" i="33" s="1"/>
  <c r="I21" i="63"/>
  <c r="L21" s="1"/>
  <c r="E33" i="33" s="1"/>
  <c r="N20" i="63"/>
  <c r="L20"/>
  <c r="E32" i="33" s="1"/>
  <c r="K32" s="1"/>
  <c r="K20" i="63"/>
  <c r="J20"/>
  <c r="M20" s="1"/>
  <c r="F32" i="33" s="1"/>
  <c r="I20" i="63"/>
  <c r="L19"/>
  <c r="K19"/>
  <c r="N19" s="1"/>
  <c r="J31" i="33" s="1"/>
  <c r="J19" i="63"/>
  <c r="M19" s="1"/>
  <c r="F31" i="33" s="1"/>
  <c r="I19" i="63"/>
  <c r="K18"/>
  <c r="N18" s="1"/>
  <c r="J30" i="33" s="1"/>
  <c r="J18" i="63"/>
  <c r="M18" s="1"/>
  <c r="F30" i="33" s="1"/>
  <c r="I18" i="63"/>
  <c r="L18" s="1"/>
  <c r="E30" i="33" s="1"/>
  <c r="N16" i="63"/>
  <c r="N15"/>
  <c r="M15"/>
  <c r="N14"/>
  <c r="M14"/>
  <c r="N13"/>
  <c r="I17" i="45" s="1"/>
  <c r="M13" i="63"/>
  <c r="N12"/>
  <c r="M12"/>
  <c r="N11"/>
  <c r="M11"/>
  <c r="N3"/>
  <c r="C34" i="62"/>
  <c r="C32"/>
  <c r="F5" i="44" s="1"/>
  <c r="C31" i="62"/>
  <c r="C30"/>
  <c r="C29"/>
  <c r="C8"/>
  <c r="C7"/>
  <c r="D6"/>
  <c r="C6" s="1"/>
  <c r="E21" i="33" s="1"/>
  <c r="C5" i="62"/>
  <c r="C4"/>
  <c r="C3"/>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s="1"/>
  <c r="K8"/>
  <c r="L10" s="1"/>
  <c r="R10" s="1"/>
  <c r="R2"/>
  <c r="P2" a="1"/>
  <c r="P2" s="1"/>
  <c r="P10" i="54" a="1"/>
  <c r="P10"/>
  <c r="K8"/>
  <c r="J8"/>
  <c r="G8"/>
  <c r="F8"/>
  <c r="R2"/>
  <c r="P2" a="1"/>
  <c r="P2" s="1"/>
  <c r="N9" i="53" a="1"/>
  <c r="N9"/>
  <c r="J9"/>
  <c r="P9" s="1"/>
  <c r="E5"/>
  <c r="P2"/>
  <c r="N2" a="1"/>
  <c r="N2"/>
  <c r="G24" i="52"/>
  <c r="G12"/>
  <c r="F12"/>
  <c r="F10" i="54" s="1"/>
  <c r="E12" i="52"/>
  <c r="D6"/>
  <c r="BA115" i="51"/>
  <c r="BA114"/>
  <c r="BA113"/>
  <c r="BA102"/>
  <c r="BA100"/>
  <c r="BA99"/>
  <c r="I53"/>
  <c r="H53"/>
  <c r="G53"/>
  <c r="I52"/>
  <c r="G52"/>
  <c r="I51"/>
  <c r="I50"/>
  <c r="H50"/>
  <c r="G50"/>
  <c r="I49"/>
  <c r="H49"/>
  <c r="G49"/>
  <c r="I48"/>
  <c r="H48"/>
  <c r="F32" s="1"/>
  <c r="G48"/>
  <c r="E32" s="1"/>
  <c r="I47"/>
  <c r="H47"/>
  <c r="G47"/>
  <c r="J46"/>
  <c r="I46"/>
  <c r="K45"/>
  <c r="E4" i="3" s="1"/>
  <c r="J45" i="51"/>
  <c r="I45"/>
  <c r="G44"/>
  <c r="H52" s="1"/>
  <c r="G36"/>
  <c r="E31" i="62" s="1"/>
  <c r="F36" i="51"/>
  <c r="AA11" i="63" s="1"/>
  <c r="F29" i="51"/>
  <c r="E29"/>
  <c r="L5"/>
  <c r="L4"/>
  <c r="L3"/>
  <c r="L6" s="1"/>
  <c r="I14" i="50"/>
  <c r="G14"/>
  <c r="G11"/>
  <c r="G10"/>
  <c r="G9"/>
  <c r="D6"/>
  <c r="E13" i="49"/>
  <c r="H12"/>
  <c r="E12"/>
  <c r="E11"/>
  <c r="E10"/>
  <c r="D6"/>
  <c r="D5"/>
  <c r="F269" i="48"/>
  <c r="M209"/>
  <c r="F208"/>
  <c r="M148"/>
  <c r="F147"/>
  <c r="M87"/>
  <c r="F84"/>
  <c r="F23"/>
  <c r="G17"/>
  <c r="F17"/>
  <c r="G16"/>
  <c r="F16"/>
  <c r="E14"/>
  <c r="N7"/>
  <c r="N4"/>
  <c r="N1"/>
  <c r="E42" i="47"/>
  <c r="E38"/>
  <c r="E35"/>
  <c r="E31"/>
  <c r="E28"/>
  <c r="E25"/>
  <c r="E24"/>
  <c r="D15"/>
  <c r="D14"/>
  <c r="G17" i="46"/>
  <c r="E16"/>
  <c r="G14"/>
  <c r="E13"/>
  <c r="E12"/>
  <c r="D6"/>
  <c r="D5"/>
  <c r="I21" i="45"/>
  <c r="F21"/>
  <c r="I19"/>
  <c r="H19"/>
  <c r="G19"/>
  <c r="F19"/>
  <c r="E19"/>
  <c r="I18"/>
  <c r="E18"/>
  <c r="E17"/>
  <c r="I16"/>
  <c r="E16"/>
  <c r="I15"/>
  <c r="E15"/>
  <c r="H14"/>
  <c r="G14"/>
  <c r="G11"/>
  <c r="G10"/>
  <c r="G9"/>
  <c r="D6"/>
  <c r="D5"/>
  <c r="F2"/>
  <c r="F21" i="44"/>
  <c r="F6"/>
  <c r="K57" i="43"/>
  <c r="H57"/>
  <c r="K56"/>
  <c r="H56"/>
  <c r="K55"/>
  <c r="H55"/>
  <c r="O54"/>
  <c r="N54"/>
  <c r="K54" s="1"/>
  <c r="M54"/>
  <c r="L54"/>
  <c r="I54"/>
  <c r="H54"/>
  <c r="K53"/>
  <c r="H53"/>
  <c r="K52"/>
  <c r="H52"/>
  <c r="K51"/>
  <c r="H51"/>
  <c r="K50"/>
  <c r="H50"/>
  <c r="O49"/>
  <c r="O48" s="1"/>
  <c r="N49"/>
  <c r="M49"/>
  <c r="K49" s="1"/>
  <c r="L49"/>
  <c r="I49"/>
  <c r="H49" s="1"/>
  <c r="L48"/>
  <c r="K47"/>
  <c r="H47"/>
  <c r="K46"/>
  <c r="H46"/>
  <c r="K45"/>
  <c r="H45"/>
  <c r="O44"/>
  <c r="N44"/>
  <c r="K44" s="1"/>
  <c r="M44"/>
  <c r="L44"/>
  <c r="I44"/>
  <c r="H44"/>
  <c r="K43"/>
  <c r="H43"/>
  <c r="K42"/>
  <c r="H42"/>
  <c r="K41"/>
  <c r="H41"/>
  <c r="K40"/>
  <c r="H40"/>
  <c r="O39"/>
  <c r="N39"/>
  <c r="N38" s="1"/>
  <c r="M39"/>
  <c r="M38" s="1"/>
  <c r="L39"/>
  <c r="I39"/>
  <c r="H39" s="1"/>
  <c r="O38"/>
  <c r="O58" s="1"/>
  <c r="L38"/>
  <c r="N36"/>
  <c r="K35"/>
  <c r="H35"/>
  <c r="K34"/>
  <c r="H34"/>
  <c r="K33"/>
  <c r="H33"/>
  <c r="O32"/>
  <c r="N32"/>
  <c r="M32"/>
  <c r="L32"/>
  <c r="K32"/>
  <c r="I32"/>
  <c r="H32"/>
  <c r="K31"/>
  <c r="H31"/>
  <c r="K30"/>
  <c r="H30"/>
  <c r="K29"/>
  <c r="H29"/>
  <c r="O28"/>
  <c r="N28"/>
  <c r="M28"/>
  <c r="K28" s="1"/>
  <c r="L28"/>
  <c r="I28"/>
  <c r="H28"/>
  <c r="K27"/>
  <c r="H27"/>
  <c r="K26"/>
  <c r="H26"/>
  <c r="K25"/>
  <c r="H25"/>
  <c r="K24"/>
  <c r="H24"/>
  <c r="K23"/>
  <c r="H23"/>
  <c r="K22"/>
  <c r="H22"/>
  <c r="K21"/>
  <c r="H21"/>
  <c r="K20"/>
  <c r="H20"/>
  <c r="K19"/>
  <c r="H19"/>
  <c r="K18"/>
  <c r="H18"/>
  <c r="K17"/>
  <c r="H17"/>
  <c r="K16"/>
  <c r="H16"/>
  <c r="O15"/>
  <c r="O36" s="1"/>
  <c r="N15"/>
  <c r="M15"/>
  <c r="M36" s="1"/>
  <c r="L15"/>
  <c r="K15" s="1"/>
  <c r="I15"/>
  <c r="I36" s="1"/>
  <c r="H36" s="1"/>
  <c r="K11"/>
  <c r="H11"/>
  <c r="F6"/>
  <c r="AD70" i="42"/>
  <c r="AD65"/>
  <c r="AD60"/>
  <c r="AD49"/>
  <c r="AD38"/>
  <c r="AD27"/>
  <c r="AD22"/>
  <c r="F14"/>
  <c r="F6"/>
  <c r="F5"/>
  <c r="H17" i="41"/>
  <c r="P13"/>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291" i="33"/>
  <c r="F291"/>
  <c r="E290"/>
  <c r="J285"/>
  <c r="F285"/>
  <c r="E282"/>
  <c r="E278"/>
  <c r="E274"/>
  <c r="E266"/>
  <c r="E262"/>
  <c r="E258"/>
  <c r="E254"/>
  <c r="E250"/>
  <c r="E246"/>
  <c r="E242"/>
  <c r="E234"/>
  <c r="E230"/>
  <c r="E226"/>
  <c r="E222"/>
  <c r="E218"/>
  <c r="E214"/>
  <c r="E210"/>
  <c r="E206"/>
  <c r="E280" s="1"/>
  <c r="J201"/>
  <c r="F201"/>
  <c r="E200"/>
  <c r="F197"/>
  <c r="E196"/>
  <c r="J195"/>
  <c r="J193"/>
  <c r="J189"/>
  <c r="E188"/>
  <c r="J107"/>
  <c r="E106"/>
  <c r="J103"/>
  <c r="J99"/>
  <c r="E98"/>
  <c r="I97"/>
  <c r="H97"/>
  <c r="F94"/>
  <c r="J91"/>
  <c r="E90"/>
  <c r="J83"/>
  <c r="J82"/>
  <c r="I75"/>
  <c r="H75"/>
  <c r="E75"/>
  <c r="E77" s="1"/>
  <c r="E72"/>
  <c r="K72" s="1"/>
  <c r="F68"/>
  <c r="F67"/>
  <c r="F63"/>
  <c r="F59"/>
  <c r="E58"/>
  <c r="K58" s="1"/>
  <c r="E57"/>
  <c r="K57" s="1"/>
  <c r="E53"/>
  <c r="K53" s="1"/>
  <c r="J50"/>
  <c r="F49"/>
  <c r="K46"/>
  <c r="I41"/>
  <c r="H41"/>
  <c r="K39"/>
  <c r="K38"/>
  <c r="K37"/>
  <c r="K36"/>
  <c r="K35"/>
  <c r="K34"/>
  <c r="I33"/>
  <c r="H33"/>
  <c r="J32"/>
  <c r="E31"/>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V41"/>
  <c r="U4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D41"/>
  <c r="AF41" s="1"/>
  <c r="AG41" s="1"/>
  <c r="AC41"/>
  <c r="U41"/>
  <c r="V41" s="1"/>
  <c r="AG33"/>
  <c r="V33"/>
  <c r="AG32"/>
  <c r="V32"/>
  <c r="AG30"/>
  <c r="V30"/>
  <c r="AG29"/>
  <c r="V29"/>
  <c r="AG28"/>
  <c r="V28"/>
  <c r="AG27"/>
  <c r="V27"/>
  <c r="S25"/>
  <c r="S24"/>
  <c r="AV13"/>
  <c r="AV12"/>
  <c r="AV11"/>
  <c r="AV10"/>
  <c r="AV9"/>
  <c r="AV8"/>
  <c r="AV7"/>
  <c r="AS7"/>
  <c r="AV6"/>
  <c r="AV5"/>
  <c r="AV4"/>
  <c r="AG4"/>
  <c r="S4"/>
  <c r="I5" s="1"/>
  <c r="S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I6" s="1"/>
  <c r="AN4"/>
  <c r="AC4"/>
  <c r="S4"/>
  <c r="AN3"/>
  <c r="AC3"/>
  <c r="S3"/>
  <c r="AN2"/>
  <c r="AC2"/>
  <c r="S2"/>
  <c r="AN53" i="24"/>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P44"/>
  <c r="AQ44" s="1"/>
  <c r="AS44" s="1"/>
  <c r="AT44" s="1"/>
  <c r="AU44" s="1"/>
  <c r="AO44"/>
  <c r="AN44"/>
  <c r="V44"/>
  <c r="W44" s="1"/>
  <c r="X44" s="1"/>
  <c r="Y44" s="1"/>
  <c r="AA44" s="1"/>
  <c r="AB44" s="1"/>
  <c r="U44"/>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K48"/>
  <c r="AL48" s="1"/>
  <c r="AM48" s="1"/>
  <c r="AO48" s="1"/>
  <c r="AP48" s="1"/>
  <c r="AQ48" s="1"/>
  <c r="AJ48"/>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S7" s="1"/>
  <c r="AP4"/>
  <c r="AD4"/>
  <c r="S4"/>
  <c r="AP3"/>
  <c r="AD3"/>
  <c r="S3"/>
  <c r="AP2"/>
  <c r="AD2"/>
  <c r="S2"/>
  <c r="AP57" i="17"/>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S7" s="1"/>
  <c r="AP5"/>
  <c r="AD5"/>
  <c r="S5"/>
  <c r="AP4"/>
  <c r="AD4"/>
  <c r="S4"/>
  <c r="AP3"/>
  <c r="AD3"/>
  <c r="S3"/>
  <c r="AP2"/>
  <c r="AD2"/>
  <c r="S2"/>
  <c r="AP57" i="15"/>
  <c r="AP56"/>
  <c r="AP55"/>
  <c r="AP54"/>
  <c r="AP53"/>
  <c r="AP52"/>
  <c r="AP51"/>
  <c r="AP50"/>
  <c r="AG50"/>
  <c r="Y50"/>
  <c r="AP49"/>
  <c r="AP48"/>
  <c r="AP47"/>
  <c r="AP46"/>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S6" s="1"/>
  <c r="AP5"/>
  <c r="AD5"/>
  <c r="S5"/>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S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S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21"/>
  <c r="D19"/>
  <c r="D22"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G205" i="48" s="1"/>
  <c r="AI131" i="5"/>
  <c r="AH131"/>
  <c r="F266" i="48" s="1"/>
  <c r="AQ126" i="5"/>
  <c r="AP126"/>
  <c r="S43" i="28" s="1"/>
  <c r="I44" s="1"/>
  <c r="AO126" i="5"/>
  <c r="S42" i="28" s="1"/>
  <c r="AN126" i="5"/>
  <c r="S41" i="28" s="1"/>
  <c r="AM126" i="5"/>
  <c r="AL126"/>
  <c r="AC43" i="28" s="1"/>
  <c r="AK126" i="5"/>
  <c r="AC42" i="28" s="1"/>
  <c r="AJ126" i="5"/>
  <c r="G263" i="48" s="1"/>
  <c r="AI126" i="5"/>
  <c r="AH126"/>
  <c r="F324" i="48" s="1"/>
  <c r="AQ121" i="5"/>
  <c r="AP121"/>
  <c r="S43" i="27" s="1"/>
  <c r="I44" s="1"/>
  <c r="AO121" i="5"/>
  <c r="S42" i="27" s="1"/>
  <c r="AN121" i="5"/>
  <c r="S41" i="27" s="1"/>
  <c r="AM121" i="5"/>
  <c r="AL121"/>
  <c r="AC43" i="27" s="1"/>
  <c r="AK121" i="5"/>
  <c r="AC42" i="27" s="1"/>
  <c r="AJ121" i="5"/>
  <c r="G321" i="48" s="1"/>
  <c r="AI121" i="5"/>
  <c r="AH121"/>
  <c r="F138" i="48" s="1"/>
  <c r="AQ115" i="5"/>
  <c r="AP115"/>
  <c r="S48" i="32" s="1"/>
  <c r="K52" s="1"/>
  <c r="S52" s="1"/>
  <c r="AO115" i="5"/>
  <c r="S47" i="32" s="1"/>
  <c r="AN115" i="5"/>
  <c r="S46" i="32" s="1"/>
  <c r="AM115" i="5"/>
  <c r="AL115"/>
  <c r="AD48" i="32" s="1"/>
  <c r="AK115" i="5"/>
  <c r="AD47" i="32" s="1"/>
  <c r="AJ115" i="5"/>
  <c r="G135" i="48" s="1"/>
  <c r="AI115" i="5"/>
  <c r="AH115"/>
  <c r="F196" i="48" s="1"/>
  <c r="AQ110" i="5"/>
  <c r="AP110"/>
  <c r="S44" i="31" s="1"/>
  <c r="I45" s="1"/>
  <c r="AO110" i="5"/>
  <c r="S43" i="31" s="1"/>
  <c r="AN110" i="5"/>
  <c r="S42" i="31" s="1"/>
  <c r="AM110" i="5"/>
  <c r="AL110"/>
  <c r="AG44" i="31" s="1"/>
  <c r="AK110" i="5"/>
  <c r="AG43" i="31" s="1"/>
  <c r="AJ110" i="5"/>
  <c r="G193" i="48" s="1"/>
  <c r="AI110" i="5"/>
  <c r="AH110"/>
  <c r="F254" i="48" s="1"/>
  <c r="AQ105" i="5"/>
  <c r="AP105"/>
  <c r="S44" i="30" s="1"/>
  <c r="I45" s="1"/>
  <c r="AO105" i="5"/>
  <c r="S43" i="30" s="1"/>
  <c r="AN105" i="5"/>
  <c r="S42" i="30" s="1"/>
  <c r="AM105" i="5"/>
  <c r="AL105"/>
  <c r="AG44" i="30" s="1"/>
  <c r="AK105" i="5"/>
  <c r="AG43" i="30" s="1"/>
  <c r="AJ105" i="5"/>
  <c r="G251" i="48" s="1"/>
  <c r="AI105" i="5"/>
  <c r="AH105"/>
  <c r="F312" i="48" s="1"/>
  <c r="AQ99" i="5"/>
  <c r="AP99"/>
  <c r="S48" i="26" s="1"/>
  <c r="K52" s="1"/>
  <c r="S52" s="1"/>
  <c r="AO99" i="5"/>
  <c r="S47" i="26" s="1"/>
  <c r="AN99" i="5"/>
  <c r="S46" i="26" s="1"/>
  <c r="AM99" i="5"/>
  <c r="AL99"/>
  <c r="AD48" i="26" s="1"/>
  <c r="AK99" i="5"/>
  <c r="AD47" i="26" s="1"/>
  <c r="AJ99" i="5"/>
  <c r="G309" i="48" s="1"/>
  <c r="AI99" i="5"/>
  <c r="AH99"/>
  <c r="F126" i="48" s="1"/>
  <c r="AQ94" i="5"/>
  <c r="AP94"/>
  <c r="S43" i="24" s="1"/>
  <c r="I44" s="1"/>
  <c r="AO94" i="5"/>
  <c r="S42" i="24" s="1"/>
  <c r="AN94" i="5"/>
  <c r="S41" i="24" s="1"/>
  <c r="AM94" i="5"/>
  <c r="AL94"/>
  <c r="AC43" i="24" s="1"/>
  <c r="AK94" i="5"/>
  <c r="AC42" i="24" s="1"/>
  <c r="AJ94" i="5"/>
  <c r="G123" i="48" s="1"/>
  <c r="AI94" i="5"/>
  <c r="AH94"/>
  <c r="F184" i="48" s="1"/>
  <c r="AQ89" i="5"/>
  <c r="AP89"/>
  <c r="S43" i="23" s="1"/>
  <c r="I44" s="1"/>
  <c r="AO89" i="5"/>
  <c r="S42" i="23" s="1"/>
  <c r="AN89" i="5"/>
  <c r="S41" i="23" s="1"/>
  <c r="AM89" i="5"/>
  <c r="AL89"/>
  <c r="AC43" i="23" s="1"/>
  <c r="AK89" i="5"/>
  <c r="AC42" i="23" s="1"/>
  <c r="AJ89" i="5"/>
  <c r="G181" i="48" s="1"/>
  <c r="AI89" i="5"/>
  <c r="AH89"/>
  <c r="F242" i="48" s="1"/>
  <c r="AQ84" i="5"/>
  <c r="AP84"/>
  <c r="S43" i="22" s="1"/>
  <c r="I44" s="1"/>
  <c r="AO84" i="5"/>
  <c r="S42" i="22" s="1"/>
  <c r="AN84" i="5"/>
  <c r="S41" i="22" s="1"/>
  <c r="AM84" i="5"/>
  <c r="AL84"/>
  <c r="AC43" i="22" s="1"/>
  <c r="AK84" i="5"/>
  <c r="AC42" i="22" s="1"/>
  <c r="AJ84" i="5"/>
  <c r="G239" i="48" s="1"/>
  <c r="AI84" i="5"/>
  <c r="AH84"/>
  <c r="F300" i="48" s="1"/>
  <c r="AQ79" i="5"/>
  <c r="AP79"/>
  <c r="S43" i="21" s="1"/>
  <c r="I44" s="1"/>
  <c r="AO79" i="5"/>
  <c r="S42" i="21" s="1"/>
  <c r="AN79" i="5"/>
  <c r="S41" i="21" s="1"/>
  <c r="AM79" i="5"/>
  <c r="AL79"/>
  <c r="AC43" i="21" s="1"/>
  <c r="AK79" i="5"/>
  <c r="AC42" i="21" s="1"/>
  <c r="AJ79" i="5"/>
  <c r="G297" i="48" s="1"/>
  <c r="AI79" i="5"/>
  <c r="AH79"/>
  <c r="F114" i="48" s="1"/>
  <c r="AQ63" i="5"/>
  <c r="S46" i="14" s="1"/>
  <c r="I47" s="1"/>
  <c r="AP63" i="5"/>
  <c r="S45" i="14" s="1"/>
  <c r="AO63" i="5"/>
  <c r="S44" i="13" s="1"/>
  <c r="AN63" i="5"/>
  <c r="S43" i="14" s="1"/>
  <c r="AM63" i="5"/>
  <c r="AD46" i="13"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G111" i="48" s="1"/>
  <c r="AI58" i="5"/>
  <c r="AH58"/>
  <c r="F172" i="48" s="1"/>
  <c r="AQ53" i="5"/>
  <c r="S48" i="20" s="1"/>
  <c r="AP53" i="5"/>
  <c r="S47" i="20" s="1"/>
  <c r="AO53" i="5"/>
  <c r="S46" i="20" s="1"/>
  <c r="AN53" i="5"/>
  <c r="S45" i="20" s="1"/>
  <c r="AM53" i="5"/>
  <c r="AB48" i="20" s="1"/>
  <c r="AL53" i="5"/>
  <c r="AB47" i="20" s="1"/>
  <c r="AK53" i="5"/>
  <c r="AB46" i="20" s="1"/>
  <c r="AJ53" i="5"/>
  <c r="G169" i="48" s="1"/>
  <c r="AI53" i="5"/>
  <c r="AH53"/>
  <c r="F230" i="48" s="1"/>
  <c r="AQ48" i="5"/>
  <c r="S46" i="15" s="1"/>
  <c r="I47" s="1"/>
  <c r="AP48" i="5"/>
  <c r="S45" i="15" s="1"/>
  <c r="AO48" i="5"/>
  <c r="S44" i="15" s="1"/>
  <c r="AN48" i="5"/>
  <c r="S43" i="15" s="1"/>
  <c r="AM48" i="5"/>
  <c r="AD46" i="15" s="1"/>
  <c r="AL48" i="5"/>
  <c r="AD45" i="15" s="1"/>
  <c r="AK48" i="5"/>
  <c r="AD44" i="15" s="1"/>
  <c r="AJ48" i="5"/>
  <c r="G227" i="48" s="1"/>
  <c r="AI48" i="5"/>
  <c r="AH48"/>
  <c r="F288" i="48" s="1"/>
  <c r="AQ43" i="5"/>
  <c r="S46" i="18" s="1"/>
  <c r="AP43" i="5"/>
  <c r="S45" i="18" s="1"/>
  <c r="AO43" i="5"/>
  <c r="S44" i="18" s="1"/>
  <c r="AN43" i="5"/>
  <c r="S43" i="18" s="1"/>
  <c r="AM43" i="5"/>
  <c r="AD46" i="18" s="1"/>
  <c r="AL43" i="5"/>
  <c r="AD45" i="18" s="1"/>
  <c r="AK43" i="5"/>
  <c r="AD44" i="18" s="1"/>
  <c r="AJ43" i="5"/>
  <c r="G285" i="48" s="1"/>
  <c r="AI43" i="5"/>
  <c r="AH43"/>
  <c r="F102" i="48" s="1"/>
  <c r="AQ38" i="5"/>
  <c r="S46" i="17" s="1"/>
  <c r="AP38" i="5"/>
  <c r="S45" i="17" s="1"/>
  <c r="AO38" i="5"/>
  <c r="S44" i="17" s="1"/>
  <c r="AN38" i="5"/>
  <c r="S43" i="17" s="1"/>
  <c r="AM38" i="5"/>
  <c r="AD46" i="17" s="1"/>
  <c r="AL38" i="5"/>
  <c r="AD45" i="17" s="1"/>
  <c r="AK38" i="5"/>
  <c r="AD44" i="17" s="1"/>
  <c r="AJ38" i="5"/>
  <c r="G99" i="48" s="1"/>
  <c r="AI38" i="5"/>
  <c r="AH38"/>
  <c r="F160" i="48" s="1"/>
  <c r="AQ33" i="5"/>
  <c r="U52" i="19" s="1"/>
  <c r="I53" s="1"/>
  <c r="J54" s="1"/>
  <c r="AP33" i="5"/>
  <c r="U51" i="19" s="1"/>
  <c r="AO33" i="5"/>
  <c r="U50" i="19" s="1"/>
  <c r="AN33" i="5"/>
  <c r="U49" i="19" s="1"/>
  <c r="AM33" i="5"/>
  <c r="AG52" i="19" s="1"/>
  <c r="AL33" i="5"/>
  <c r="AG51" i="19" s="1"/>
  <c r="AK33" i="5"/>
  <c r="AG50" i="19" s="1"/>
  <c r="AJ33" i="5"/>
  <c r="G157" i="48" s="1"/>
  <c r="AI33" i="5"/>
  <c r="AH33"/>
  <c r="F218" i="48" s="1"/>
  <c r="AQ28" i="5"/>
  <c r="S46" i="16" s="1"/>
  <c r="AP28" i="5"/>
  <c r="L21" i="64" s="1"/>
  <c r="AO28" i="5"/>
  <c r="S44" i="16" s="1"/>
  <c r="AN28" i="5"/>
  <c r="L19" i="64" s="1"/>
  <c r="AM28" i="5"/>
  <c r="AD46" i="16" s="1"/>
  <c r="AL28" i="5"/>
  <c r="O21" i="64" s="1"/>
  <c r="AK28" i="5"/>
  <c r="AD44" i="16" s="1"/>
  <c r="AJ28" i="5"/>
  <c r="G215" i="48" s="1"/>
  <c r="AI28" i="5"/>
  <c r="AH28"/>
  <c r="F276" i="48" s="1"/>
  <c r="AQ23" i="5"/>
  <c r="AP23"/>
  <c r="AO23"/>
  <c r="AN23"/>
  <c r="AM23"/>
  <c r="AL23"/>
  <c r="AK23"/>
  <c r="AJ23"/>
  <c r="AI23"/>
  <c r="AH23"/>
  <c r="AQ18"/>
  <c r="S46" i="12" s="1"/>
  <c r="I47" s="1"/>
  <c r="AP18" i="5"/>
  <c r="S45" i="12" s="1"/>
  <c r="AO18" i="5"/>
  <c r="S44" i="12" s="1"/>
  <c r="AN18" i="5"/>
  <c r="S43" i="12" s="1"/>
  <c r="AM18" i="5"/>
  <c r="AD46" i="12" s="1"/>
  <c r="AL18" i="5"/>
  <c r="AD45" i="12" s="1"/>
  <c r="AK18" i="5"/>
  <c r="AD44" i="12" s="1"/>
  <c r="AJ18" i="5"/>
  <c r="G273" i="48" s="1"/>
  <c r="AI18" i="5"/>
  <c r="AH18"/>
  <c r="F90" i="48" s="1"/>
  <c r="AQ13" i="5"/>
  <c r="S46" i="11" s="1"/>
  <c r="I47" s="1"/>
  <c r="AP13" i="5"/>
  <c r="S45" i="11" s="1"/>
  <c r="AO13" i="5"/>
  <c r="S44" i="11" s="1"/>
  <c r="AN13" i="5"/>
  <c r="S43" i="11" s="1"/>
  <c r="AM13" i="5"/>
  <c r="AD46" i="11" s="1"/>
  <c r="AL13" i="5"/>
  <c r="AD45" i="11" s="1"/>
  <c r="AK13" i="5"/>
  <c r="AD44" i="11" s="1"/>
  <c r="AJ13" i="5"/>
  <c r="G148" i="48" s="1"/>
  <c r="AI13" i="5"/>
  <c r="AH13"/>
  <c r="F148" i="48" s="1"/>
  <c r="D6" i="5"/>
  <c r="D5"/>
  <c r="R13" i="4"/>
  <c r="I12" i="38" s="1"/>
  <c r="Q13" i="4"/>
  <c r="I10" i="50" s="1"/>
  <c r="E13" i="4"/>
  <c r="P13" s="1"/>
  <c r="E7"/>
  <c r="D5"/>
  <c r="O13" i="3"/>
  <c r="M13" a="1"/>
  <c r="M13"/>
  <c r="E13"/>
  <c r="G12"/>
  <c r="E12"/>
  <c r="E59" i="2"/>
  <c r="E49"/>
  <c r="E41"/>
  <c r="E31"/>
  <c r="E27"/>
  <c r="E26"/>
  <c r="F25"/>
  <c r="E22"/>
  <c r="E21"/>
  <c r="F20"/>
  <c r="E19"/>
  <c r="I9"/>
  <c r="E5"/>
  <c r="D4" i="4" s="1"/>
  <c r="E3" i="2"/>
  <c r="E2"/>
  <c r="AL7" i="23"/>
  <c r="AR55" i="19"/>
  <c r="AN8" i="15"/>
  <c r="AN49" i="14"/>
  <c r="AN8" i="11"/>
  <c r="AL7" i="27"/>
  <c r="AL8" i="25"/>
  <c r="AL7" i="24"/>
  <c r="AL46" i="21"/>
  <c r="AR8" i="19"/>
  <c r="AN8" i="17"/>
  <c r="M10" i="54"/>
  <c r="AT47" i="30"/>
  <c r="AL7" i="28"/>
  <c r="AL48" i="25"/>
  <c r="AL46" i="22"/>
  <c r="AN49" i="18"/>
  <c r="AN49" i="16"/>
  <c r="AN8" i="14"/>
  <c r="AN49" i="13"/>
  <c r="AL46" i="23"/>
  <c r="AV8" i="20"/>
  <c r="AL46" i="27"/>
  <c r="AL46" i="24"/>
  <c r="AR56" i="19"/>
  <c r="AN8" i="13"/>
  <c r="AN49" i="12"/>
  <c r="AT7" i="30"/>
  <c r="AL46" i="28"/>
  <c r="AN8" i="18"/>
  <c r="AN8" i="16"/>
  <c r="Y25" i="64"/>
  <c r="AT7" i="31"/>
  <c r="AL7" i="21"/>
  <c r="AV51" i="20"/>
  <c r="AN49" i="17"/>
  <c r="AN49" i="15"/>
  <c r="AN8" i="12"/>
  <c r="AN49" i="11"/>
  <c r="M10" i="55"/>
  <c r="M2"/>
  <c r="M2" i="54"/>
  <c r="AT47" i="31"/>
  <c r="AL7" i="22"/>
  <c r="J13" i="3"/>
  <c r="E184" i="33" l="1"/>
  <c r="E162"/>
  <c r="E130"/>
  <c r="E126"/>
  <c r="E166"/>
  <c r="E134"/>
  <c r="E170"/>
  <c r="E138"/>
  <c r="E158"/>
  <c r="E174"/>
  <c r="E142"/>
  <c r="E110"/>
  <c r="E178"/>
  <c r="E146"/>
  <c r="E114"/>
  <c r="E182"/>
  <c r="E150"/>
  <c r="E118"/>
  <c r="E186"/>
  <c r="E154"/>
  <c r="E122"/>
  <c r="I6" i="20"/>
  <c r="D5" i="52"/>
  <c r="M24" i="48"/>
  <c r="M270"/>
  <c r="J47" i="51"/>
  <c r="E79" i="33"/>
  <c r="J49" i="51"/>
  <c r="F2" i="54"/>
  <c r="E76" i="33"/>
  <c r="K76" s="1"/>
  <c r="F5" i="41"/>
  <c r="E24" i="52"/>
  <c r="K75" i="33"/>
  <c r="I31" s="1"/>
  <c r="I298" s="1"/>
  <c r="J51" i="51"/>
  <c r="F5" i="43"/>
  <c r="L10" i="54"/>
  <c r="R10" s="1"/>
  <c r="E238" i="33"/>
  <c r="E270"/>
  <c r="E32" i="47"/>
  <c r="G51" i="51"/>
  <c r="I47" i="18"/>
  <c r="J48"/>
  <c r="S47" i="14"/>
  <c r="J48"/>
  <c r="J7" i="12"/>
  <c r="S6"/>
  <c r="S5" i="24"/>
  <c r="J6"/>
  <c r="S44"/>
  <c r="J45"/>
  <c r="I10" i="37"/>
  <c r="H9" i="45"/>
  <c r="I7" i="39"/>
  <c r="H14" i="34"/>
  <c r="I10" i="38"/>
  <c r="I9" i="50"/>
  <c r="I25" i="33"/>
  <c r="I26" i="40"/>
  <c r="M10" i="35"/>
  <c r="S47" i="12"/>
  <c r="J48"/>
  <c r="J48" i="17"/>
  <c r="I47"/>
  <c r="K48" i="25"/>
  <c r="S48" s="1"/>
  <c r="I46"/>
  <c r="J47"/>
  <c r="S44" i="23"/>
  <c r="J45"/>
  <c r="J46" i="31"/>
  <c r="S45"/>
  <c r="S7" i="17"/>
  <c r="K8"/>
  <c r="S8" s="1"/>
  <c r="J6" i="31"/>
  <c r="S5"/>
  <c r="K38" i="43"/>
  <c r="J48" i="11"/>
  <c r="S47"/>
  <c r="U54" i="19"/>
  <c r="K55"/>
  <c r="I49" i="20"/>
  <c r="J50"/>
  <c r="K51"/>
  <c r="S51" s="1"/>
  <c r="U7" i="19"/>
  <c r="K8"/>
  <c r="S6" i="22"/>
  <c r="K7"/>
  <c r="S7" s="1"/>
  <c r="S5" i="27"/>
  <c r="J6"/>
  <c r="S44" i="22"/>
  <c r="J45"/>
  <c r="S45" i="30"/>
  <c r="J46"/>
  <c r="S44" i="28"/>
  <c r="J45"/>
  <c r="S5"/>
  <c r="J6"/>
  <c r="B42" i="33"/>
  <c r="B43"/>
  <c r="B40"/>
  <c r="K33"/>
  <c r="B44"/>
  <c r="B34"/>
  <c r="B41"/>
  <c r="B45"/>
  <c r="I47" i="16"/>
  <c r="J48"/>
  <c r="J48" i="15"/>
  <c r="S47"/>
  <c r="D34" i="7"/>
  <c r="D37"/>
  <c r="D38" s="1"/>
  <c r="D39" s="1"/>
  <c r="D35"/>
  <c r="D36"/>
  <c r="J6" i="21"/>
  <c r="S5"/>
  <c r="S44"/>
  <c r="J45"/>
  <c r="S44" i="27"/>
  <c r="J45"/>
  <c r="S6" i="14"/>
  <c r="J7"/>
  <c r="S5" i="23"/>
  <c r="J6"/>
  <c r="D20" i="7"/>
  <c r="J7" i="13"/>
  <c r="S46"/>
  <c r="I47" s="1"/>
  <c r="S44" i="14"/>
  <c r="AD43" i="16"/>
  <c r="AD43" i="18"/>
  <c r="J7" i="20"/>
  <c r="AC41" i="21"/>
  <c r="S5" i="22"/>
  <c r="K8" i="25"/>
  <c r="S8" s="1"/>
  <c r="J6" i="30"/>
  <c r="E80" i="33"/>
  <c r="E111"/>
  <c r="E119"/>
  <c r="E127"/>
  <c r="E135"/>
  <c r="E143"/>
  <c r="E151"/>
  <c r="E159"/>
  <c r="E167"/>
  <c r="E175"/>
  <c r="E183"/>
  <c r="E207"/>
  <c r="E215"/>
  <c r="E223"/>
  <c r="E231"/>
  <c r="E239"/>
  <c r="E247"/>
  <c r="E255"/>
  <c r="E263"/>
  <c r="E271"/>
  <c r="E279"/>
  <c r="I11" i="38"/>
  <c r="I38" i="43"/>
  <c r="K39"/>
  <c r="L58"/>
  <c r="F27" i="48"/>
  <c r="F39"/>
  <c r="F51"/>
  <c r="F63"/>
  <c r="F75"/>
  <c r="G87"/>
  <c r="F99"/>
  <c r="F111"/>
  <c r="F123"/>
  <c r="F135"/>
  <c r="F157"/>
  <c r="F169"/>
  <c r="F181"/>
  <c r="F193"/>
  <c r="F205"/>
  <c r="F215"/>
  <c r="F227"/>
  <c r="F239"/>
  <c r="F251"/>
  <c r="F263"/>
  <c r="F273"/>
  <c r="F285"/>
  <c r="F297"/>
  <c r="F309"/>
  <c r="F321"/>
  <c r="H51" i="51"/>
  <c r="E30" i="62"/>
  <c r="AA16" i="63"/>
  <c r="AD43" i="13"/>
  <c r="AD46" i="14"/>
  <c r="S43" i="16"/>
  <c r="AD45"/>
  <c r="AD46" i="32"/>
  <c r="I9" i="39"/>
  <c r="H15" i="43"/>
  <c r="N48"/>
  <c r="N58" s="1"/>
  <c r="H11" i="45"/>
  <c r="G36" i="48"/>
  <c r="G48"/>
  <c r="G60"/>
  <c r="G72"/>
  <c r="F87"/>
  <c r="G96"/>
  <c r="G108"/>
  <c r="G120"/>
  <c r="G132"/>
  <c r="G144"/>
  <c r="G154"/>
  <c r="G166"/>
  <c r="G178"/>
  <c r="G190"/>
  <c r="G202"/>
  <c r="G212"/>
  <c r="G224"/>
  <c r="G236"/>
  <c r="G248"/>
  <c r="G260"/>
  <c r="G282"/>
  <c r="G294"/>
  <c r="G306"/>
  <c r="G318"/>
  <c r="F2" i="55"/>
  <c r="E5" i="62"/>
  <c r="AA13" i="63"/>
  <c r="O20" i="64"/>
  <c r="S43" i="13"/>
  <c r="AD45"/>
  <c r="S45" i="16"/>
  <c r="AG49" i="19"/>
  <c r="J7" i="25"/>
  <c r="AG42" i="31"/>
  <c r="E78" i="33"/>
  <c r="E117"/>
  <c r="E125"/>
  <c r="E133"/>
  <c r="E141"/>
  <c r="E149"/>
  <c r="E157"/>
  <c r="E165"/>
  <c r="E173"/>
  <c r="E181"/>
  <c r="E213"/>
  <c r="E221"/>
  <c r="E229"/>
  <c r="E237"/>
  <c r="E245"/>
  <c r="E253"/>
  <c r="E261"/>
  <c r="E269"/>
  <c r="E277"/>
  <c r="H16" i="34"/>
  <c r="I12" i="37"/>
  <c r="M48" i="43"/>
  <c r="M58" s="1"/>
  <c r="G24" i="48"/>
  <c r="F36"/>
  <c r="F48"/>
  <c r="F60"/>
  <c r="F72"/>
  <c r="F96"/>
  <c r="F108"/>
  <c r="F120"/>
  <c r="F132"/>
  <c r="F144"/>
  <c r="F154"/>
  <c r="F166"/>
  <c r="F178"/>
  <c r="F190"/>
  <c r="F202"/>
  <c r="F212"/>
  <c r="F224"/>
  <c r="F236"/>
  <c r="F248"/>
  <c r="F260"/>
  <c r="G270"/>
  <c r="F282"/>
  <c r="F294"/>
  <c r="F306"/>
  <c r="F318"/>
  <c r="J50" i="51"/>
  <c r="J52"/>
  <c r="F10" i="55"/>
  <c r="E29" i="62"/>
  <c r="AA15" i="63"/>
  <c r="L20" i="64"/>
  <c r="S45" i="13"/>
  <c r="AB45" i="20"/>
  <c r="AD46" i="29"/>
  <c r="E116" i="33"/>
  <c r="E124"/>
  <c r="E132"/>
  <c r="E140"/>
  <c r="E148"/>
  <c r="E156"/>
  <c r="E164"/>
  <c r="E172"/>
  <c r="E180"/>
  <c r="E212"/>
  <c r="E220"/>
  <c r="E228"/>
  <c r="E236"/>
  <c r="E244"/>
  <c r="E252"/>
  <c r="E260"/>
  <c r="E268"/>
  <c r="E276"/>
  <c r="H15" i="34"/>
  <c r="I8" i="39"/>
  <c r="H10" i="45"/>
  <c r="G5" i="48"/>
  <c r="F24"/>
  <c r="G33"/>
  <c r="G45"/>
  <c r="G57"/>
  <c r="G69"/>
  <c r="G81"/>
  <c r="G93"/>
  <c r="G105"/>
  <c r="G117"/>
  <c r="G129"/>
  <c r="G141"/>
  <c r="G151"/>
  <c r="G163"/>
  <c r="G175"/>
  <c r="G187"/>
  <c r="G199"/>
  <c r="G221"/>
  <c r="G233"/>
  <c r="G245"/>
  <c r="G257"/>
  <c r="F270"/>
  <c r="G279"/>
  <c r="G291"/>
  <c r="G303"/>
  <c r="G315"/>
  <c r="G327"/>
  <c r="H46" i="51"/>
  <c r="E4" i="62"/>
  <c r="U15" i="63"/>
  <c r="O22" i="64"/>
  <c r="B5" i="1"/>
  <c r="J7" i="11"/>
  <c r="J7" i="15"/>
  <c r="K8" i="16"/>
  <c r="S8" s="1"/>
  <c r="AD43" i="17"/>
  <c r="K8" i="18"/>
  <c r="S8" s="1"/>
  <c r="AC41" i="28"/>
  <c r="E115" i="33"/>
  <c r="E123"/>
  <c r="E131"/>
  <c r="E139"/>
  <c r="E147"/>
  <c r="E155"/>
  <c r="E163"/>
  <c r="E171"/>
  <c r="E179"/>
  <c r="E211"/>
  <c r="E219"/>
  <c r="E227"/>
  <c r="E235"/>
  <c r="E243"/>
  <c r="E251"/>
  <c r="E259"/>
  <c r="E267"/>
  <c r="E275"/>
  <c r="E283"/>
  <c r="M12" i="35"/>
  <c r="I11" i="37"/>
  <c r="I28" i="40"/>
  <c r="F33" i="48"/>
  <c r="F45"/>
  <c r="F57"/>
  <c r="F69"/>
  <c r="F81"/>
  <c r="F93"/>
  <c r="F105"/>
  <c r="F117"/>
  <c r="F129"/>
  <c r="F141"/>
  <c r="F151"/>
  <c r="F163"/>
  <c r="F175"/>
  <c r="F187"/>
  <c r="F199"/>
  <c r="G209"/>
  <c r="F221"/>
  <c r="F233"/>
  <c r="F245"/>
  <c r="F257"/>
  <c r="F279"/>
  <c r="F291"/>
  <c r="F303"/>
  <c r="F315"/>
  <c r="F327"/>
  <c r="G46" i="51"/>
  <c r="E5" i="54"/>
  <c r="E5" i="55"/>
  <c r="E32" i="62"/>
  <c r="AA12" i="63"/>
  <c r="U148"/>
  <c r="O19" i="64"/>
  <c r="L22"/>
  <c r="F23" s="1"/>
  <c r="D23" i="7"/>
  <c r="AD43" i="11"/>
  <c r="AD44" i="13"/>
  <c r="AD43" i="15"/>
  <c r="AC41" i="24"/>
  <c r="AC41" i="27"/>
  <c r="I27" i="33"/>
  <c r="L36" i="43"/>
  <c r="K36" s="1"/>
  <c r="I48"/>
  <c r="H48" s="1"/>
  <c r="G2" i="48"/>
  <c r="G30"/>
  <c r="G42"/>
  <c r="G54"/>
  <c r="G66"/>
  <c r="G78"/>
  <c r="G90"/>
  <c r="G102"/>
  <c r="G114"/>
  <c r="G126"/>
  <c r="G138"/>
  <c r="G160"/>
  <c r="G172"/>
  <c r="G184"/>
  <c r="G196"/>
  <c r="F209"/>
  <c r="G218"/>
  <c r="G230"/>
  <c r="G242"/>
  <c r="G254"/>
  <c r="G266"/>
  <c r="G276"/>
  <c r="G288"/>
  <c r="G300"/>
  <c r="G312"/>
  <c r="G324"/>
  <c r="I11" i="50"/>
  <c r="E3" i="62"/>
  <c r="AC41" i="23"/>
  <c r="E113" i="33"/>
  <c r="E121"/>
  <c r="E129"/>
  <c r="E137"/>
  <c r="E145"/>
  <c r="E153"/>
  <c r="E161"/>
  <c r="E169"/>
  <c r="E177"/>
  <c r="E185"/>
  <c r="E209"/>
  <c r="E217"/>
  <c r="E225"/>
  <c r="E233"/>
  <c r="E241"/>
  <c r="E249"/>
  <c r="E257"/>
  <c r="E265"/>
  <c r="E273"/>
  <c r="E281"/>
  <c r="M11" i="35"/>
  <c r="I27" i="40"/>
  <c r="F30" i="48"/>
  <c r="F42"/>
  <c r="F54"/>
  <c r="F66"/>
  <c r="F78"/>
  <c r="E6" i="62"/>
  <c r="U14" i="63"/>
  <c r="AD43" i="12"/>
  <c r="AC41" i="22"/>
  <c r="AC42" i="25"/>
  <c r="AD46" i="26"/>
  <c r="AG42" i="30"/>
  <c r="I26" i="33"/>
  <c r="E112"/>
  <c r="E120"/>
  <c r="E128"/>
  <c r="E136"/>
  <c r="E144"/>
  <c r="E152"/>
  <c r="E160"/>
  <c r="E168"/>
  <c r="E176"/>
  <c r="E208"/>
  <c r="E216"/>
  <c r="E224"/>
  <c r="E232"/>
  <c r="E240"/>
  <c r="E248"/>
  <c r="E256"/>
  <c r="E264"/>
  <c r="E272"/>
  <c r="G27" i="48"/>
  <c r="G39"/>
  <c r="G51"/>
  <c r="G63"/>
  <c r="G75"/>
  <c r="H31" i="33" l="1"/>
  <c r="H298" s="1"/>
  <c r="S6" i="30"/>
  <c r="K7"/>
  <c r="S7" s="1"/>
  <c r="S47" i="13"/>
  <c r="J48"/>
  <c r="K46" i="27"/>
  <c r="S46" s="1"/>
  <c r="S45"/>
  <c r="L56" i="19"/>
  <c r="U56" s="1"/>
  <c r="U55"/>
  <c r="K48" i="43"/>
  <c r="S6" i="28"/>
  <c r="K7"/>
  <c r="S7" s="1"/>
  <c r="S6" i="27"/>
  <c r="K7"/>
  <c r="S7" s="1"/>
  <c r="K49" i="18"/>
  <c r="S49" s="1"/>
  <c r="S48"/>
  <c r="K58" i="43"/>
  <c r="G24" i="64"/>
  <c r="L23"/>
  <c r="K8" i="14"/>
  <c r="S8" s="1"/>
  <c r="S7"/>
  <c r="S6" i="21"/>
  <c r="K7"/>
  <c r="S7" s="1"/>
  <c r="S6" i="31"/>
  <c r="K7"/>
  <c r="S7" s="1"/>
  <c r="K46" i="24"/>
  <c r="S46" s="1"/>
  <c r="S45"/>
  <c r="K49" i="16"/>
  <c r="S49" s="1"/>
  <c r="S48"/>
  <c r="S45" i="22"/>
  <c r="K46"/>
  <c r="S46" s="1"/>
  <c r="S48" i="14"/>
  <c r="K49"/>
  <c r="S49" s="1"/>
  <c r="S6" i="23"/>
  <c r="K7"/>
  <c r="S7" s="1"/>
  <c r="S48" i="15"/>
  <c r="K49"/>
  <c r="S49" s="1"/>
  <c r="E45" i="33"/>
  <c r="E42"/>
  <c r="E43"/>
  <c r="E40"/>
  <c r="E44"/>
  <c r="S7" i="12"/>
  <c r="K8"/>
  <c r="S8" s="1"/>
  <c r="S46" i="30"/>
  <c r="K47"/>
  <c r="S47" s="1"/>
  <c r="U8" i="19"/>
  <c r="L9"/>
  <c r="U9" s="1"/>
  <c r="S48" i="11"/>
  <c r="K49"/>
  <c r="S49" s="1"/>
  <c r="K46" i="23"/>
  <c r="S46" s="1"/>
  <c r="S45"/>
  <c r="S48" i="12"/>
  <c r="K49"/>
  <c r="S49" s="1"/>
  <c r="S7" i="11"/>
  <c r="K8"/>
  <c r="S8" s="1"/>
  <c r="S45" i="21"/>
  <c r="K46"/>
  <c r="S46" s="1"/>
  <c r="S46" i="31"/>
  <c r="K47"/>
  <c r="S47" s="1"/>
  <c r="S48" i="17"/>
  <c r="K49"/>
  <c r="S49" s="1"/>
  <c r="S7" i="15"/>
  <c r="K8"/>
  <c r="S8" s="1"/>
  <c r="I58" i="43"/>
  <c r="H58" s="1"/>
  <c r="H38"/>
  <c r="S7" i="13"/>
  <c r="K8"/>
  <c r="S8" s="1"/>
  <c r="D40" i="7"/>
  <c r="D41"/>
  <c r="D43"/>
  <c r="D44" s="1"/>
  <c r="D45" s="1"/>
  <c r="S45" i="28"/>
  <c r="K46"/>
  <c r="S46" s="1"/>
  <c r="S6" i="24"/>
  <c r="K7"/>
  <c r="S7" s="1"/>
  <c r="L24" i="64" l="1"/>
  <c r="H25"/>
  <c r="L25" s="1"/>
  <c r="K49" i="13"/>
  <c r="S49" s="1"/>
  <c r="S48"/>
  <c r="D46" i="7"/>
  <c r="D47"/>
  <c r="D48"/>
  <c r="D49"/>
  <c r="D5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<sst xmlns="http://schemas.openxmlformats.org/spreadsheetml/2006/main" count="15409" uniqueCount="3752">
  <si>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</si>
  <si>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</si>
  <si>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</si>
  <si>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</si>
  <si>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</si>
  <si>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</si>
  <si>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</si>
  <si>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</si>
  <si>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</si>
  <si>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</si>
  <si>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</si>
  <si>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</si>
  <si>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</si>
  <si>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26355209</t>
  </si>
  <si>
    <t>Flag_Row_Size</t>
  </si>
  <si>
    <t>Субъект РФ</t>
  </si>
  <si>
    <t>Ставропольский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</si>
  <si>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</si>
  <si>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</si>
  <si>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</si>
  <si>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</si>
  <si>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</si>
  <si>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</si>
  <si>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</si>
  <si>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</si>
  <si>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</si>
  <si>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</si>
  <si>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</si>
  <si>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</si>
  <si>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</si>
  <si>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</si>
  <si>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</si>
  <si>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</si>
  <si>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</si>
  <si>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</si>
  <si>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</si>
  <si>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</si>
  <si>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</si>
  <si>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</si>
  <si>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</si>
  <si>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</si>
  <si>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</si>
  <si>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</si>
  <si>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</si>
  <si>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</si>
  <si>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"Пятигорсктеплосервис"</t>
  </si>
  <si>
    <t>Наименование (описание) обособленного подразделения</t>
  </si>
  <si>
    <t>ИНН</t>
  </si>
  <si>
    <t>2632062277</t>
  </si>
  <si>
    <t>КПП</t>
  </si>
  <si>
    <t>263201001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</si>
  <si>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</si>
  <si>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</si>
  <si>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</si>
  <si>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</si>
  <si>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</si>
  <si>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</si>
  <si>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</si>
  <si>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</si>
  <si>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</si>
  <si>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</si>
  <si>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</si>
  <si>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</si>
  <si>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</si>
  <si>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</si>
  <si>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</si>
  <si>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</si>
  <si>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</si>
  <si>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</si>
  <si>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</si>
  <si>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357500 Ставропольский край г.Пятигорск, ул.Ессентукская, 31</t>
  </si>
  <si>
    <t>Фамилия, имя, отчество руководителя</t>
  </si>
  <si>
    <t>Фисенко Алексей Сергеевич</t>
  </si>
  <si>
    <t>Ответственный за заполнение формы</t>
  </si>
  <si>
    <t>Фамилия, имя, отчество</t>
  </si>
  <si>
    <t>Василенко Светлана Михайловна</t>
  </si>
  <si>
    <t>Должность</t>
  </si>
  <si>
    <t>Зам.начальника ПЭО</t>
  </si>
  <si>
    <t>Контактный телефон</t>
  </si>
  <si>
    <t>8(8793) 98-28-24</t>
  </si>
  <si>
    <t>E-mail</t>
  </si>
  <si>
    <t>tepplain3@rambler.ru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</si>
  <si>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</si>
  <si>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</si>
  <si>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</si>
  <si>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</si>
  <si>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</si>
  <si>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</si>
  <si>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</si>
  <si>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</si>
  <si>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</si>
  <si>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</si>
  <si>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</si>
  <si>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</si>
  <si>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</si>
  <si>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</si>
  <si>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</si>
  <si>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</si>
  <si>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</si>
  <si>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</si>
  <si>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Город-курорт Пятигорск</t>
  </si>
  <si>
    <t>07727000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</si>
  <si>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</si>
  <si>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</si>
  <si>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</si>
  <si>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</si>
  <si>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</si>
  <si>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</si>
  <si>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</si>
  <si>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</si>
  <si>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</si>
  <si>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</si>
  <si>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</si>
  <si>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</si>
  <si>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</si>
  <si>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</si>
  <si>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</si>
  <si>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</si>
  <si>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 4190072; 4190073</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</si>
  <si>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</si>
  <si>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</si>
  <si>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</si>
  <si>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</si>
  <si>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</si>
  <si>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</si>
  <si>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</si>
  <si>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</si>
  <si>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</si>
  <si>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</si>
  <si>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</si>
  <si>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</si>
  <si>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</si>
  <si>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</si>
  <si>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</si>
  <si>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</si>
  <si>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</si>
  <si>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</si>
  <si>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</si>
  <si>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</si>
  <si>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</si>
  <si>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</si>
  <si>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</si>
  <si>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</si>
  <si>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</si>
  <si>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</si>
  <si>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</si>
  <si>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</si>
  <si>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</si>
  <si>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</si>
  <si>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</si>
  <si>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</si>
  <si>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</si>
  <si>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</si>
  <si>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</si>
  <si>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</si>
  <si>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</si>
  <si>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</si>
  <si>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</si>
  <si>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</si>
  <si>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</si>
  <si>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</si>
  <si>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</si>
  <si>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</si>
  <si>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</si>
  <si>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</si>
  <si>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</si>
  <si>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</si>
  <si>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</si>
  <si>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</si>
  <si>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</si>
  <si>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</si>
  <si>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</si>
  <si>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</si>
  <si>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</si>
  <si>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</si>
  <si>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</si>
  <si>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</si>
  <si>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</si>
  <si>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</si>
  <si>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</si>
  <si>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</si>
  <si>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</si>
  <si>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</si>
  <si>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</si>
  <si>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</si>
  <si>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</si>
  <si>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</si>
  <si>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</si>
  <si>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</si>
  <si>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</si>
  <si>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</si>
  <si>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</si>
  <si>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</si>
  <si>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</si>
  <si>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</si>
  <si>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</si>
  <si>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</si>
  <si>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</si>
  <si>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</si>
  <si>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</si>
  <si>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</si>
  <si>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</si>
  <si>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</si>
  <si>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</si>
  <si>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</si>
  <si>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</si>
  <si>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</si>
  <si>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</si>
  <si>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</si>
  <si>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</si>
  <si>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</si>
  <si>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</si>
  <si>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</si>
  <si>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</si>
  <si>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</si>
  <si>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</si>
  <si>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</si>
  <si>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</si>
  <si>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</si>
  <si>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</si>
  <si>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</si>
  <si>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</si>
  <si>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</si>
  <si>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</si>
  <si>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</si>
  <si>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</si>
  <si>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</si>
  <si>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</si>
  <si>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</si>
  <si>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</si>
  <si>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</si>
  <si>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</si>
  <si>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</si>
  <si>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</si>
  <si>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</si>
  <si>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</si>
  <si>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</si>
  <si>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</si>
  <si>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</si>
  <si>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</si>
  <si>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</si>
  <si>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</si>
  <si>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</si>
  <si>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</si>
  <si>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</si>
  <si>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</si>
  <si>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</si>
  <si>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</si>
  <si>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</si>
  <si>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</si>
  <si>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</si>
  <si>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</si>
  <si>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</si>
  <si>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</si>
  <si>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</si>
  <si>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</si>
  <si>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</si>
  <si>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</si>
  <si>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</si>
  <si>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</si>
  <si>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</si>
  <si>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</si>
  <si>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</si>
  <si>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</si>
  <si>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</si>
  <si>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</si>
  <si>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</si>
  <si>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</si>
  <si>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</si>
  <si>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</si>
  <si>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</si>
  <si>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</si>
  <si>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</si>
  <si>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</si>
  <si>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</si>
  <si>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</si>
  <si>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</si>
  <si>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</si>
  <si>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</si>
  <si>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</si>
  <si>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</si>
  <si>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</si>
  <si>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</si>
  <si>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</si>
  <si>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</si>
  <si>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</si>
  <si>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</si>
  <si>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</si>
  <si>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</si>
  <si>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</si>
  <si>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</si>
  <si>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</si>
  <si>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</si>
  <si>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</si>
  <si>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</si>
  <si>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</si>
  <si>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</si>
  <si>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</si>
  <si>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</si>
  <si>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</si>
  <si>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</si>
  <si>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</si>
  <si>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</si>
  <si>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</si>
  <si>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</si>
  <si>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</si>
  <si>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</si>
  <si>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</si>
  <si>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</si>
  <si>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</si>
  <si>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</si>
  <si>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</si>
  <si>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</si>
  <si>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</si>
  <si>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</si>
  <si>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</si>
  <si>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</si>
  <si>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</si>
  <si>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</si>
  <si>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</si>
  <si>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</si>
  <si>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</si>
  <si>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</si>
  <si>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</si>
  <si>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</si>
  <si>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</si>
  <si>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</si>
  <si>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</si>
  <si>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</si>
  <si>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</si>
  <si>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</si>
  <si>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</si>
  <si>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</si>
  <si>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</si>
  <si>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</si>
  <si>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</si>
  <si>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</si>
  <si>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</si>
  <si>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</si>
  <si>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</si>
  <si>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</si>
  <si>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</si>
  <si>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</si>
  <si>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</si>
  <si>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</si>
  <si>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</si>
  <si>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</si>
  <si>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</si>
  <si>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</si>
  <si>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</si>
  <si>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</si>
  <si>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</si>
  <si>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</si>
  <si>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</si>
  <si>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</si>
  <si>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</si>
  <si>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</si>
  <si>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</si>
  <si>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</si>
  <si>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</si>
  <si>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</si>
  <si>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</si>
  <si>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</si>
  <si>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</si>
  <si>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</si>
  <si>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</si>
  <si>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</si>
  <si>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</si>
  <si>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</si>
  <si>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</si>
  <si>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</si>
  <si>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</si>
  <si>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</si>
  <si>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</si>
  <si>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</si>
  <si>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</si>
  <si>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</si>
  <si>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</si>
  <si>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</si>
  <si>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</si>
  <si>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</si>
  <si>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</si>
  <si>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</si>
  <si>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</si>
  <si>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</si>
  <si>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</si>
  <si>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</si>
  <si>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</si>
  <si>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</si>
  <si>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</si>
  <si>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</si>
  <si>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</si>
  <si>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</si>
  <si>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</si>
  <si>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</si>
  <si>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</si>
  <si>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</si>
  <si>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</si>
  <si>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</si>
  <si>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</si>
  <si>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</si>
  <si>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</si>
  <si>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</si>
  <si>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</si>
  <si>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</si>
  <si>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</si>
  <si>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</si>
  <si>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</si>
  <si>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</si>
  <si>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</si>
  <si>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</si>
  <si>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</si>
  <si>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</si>
  <si>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</si>
  <si>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</si>
  <si>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</si>
  <si>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</si>
  <si>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</si>
  <si>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</si>
  <si>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</si>
  <si>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</si>
  <si>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</si>
  <si>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</si>
  <si>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</si>
  <si>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</si>
  <si>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</si>
  <si>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</si>
  <si>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</si>
  <si>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</si>
  <si>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</si>
  <si>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</si>
  <si>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</si>
  <si>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</si>
  <si>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</si>
  <si>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</si>
  <si>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</si>
  <si>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</si>
  <si>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</si>
  <si>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</si>
  <si>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</si>
  <si>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</si>
  <si>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</si>
  <si>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</si>
  <si>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</si>
  <si>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</si>
  <si>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</si>
  <si>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</si>
  <si>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</si>
  <si>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</si>
  <si>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</si>
  <si>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</si>
  <si>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</si>
  <si>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</si>
  <si>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</si>
  <si>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</si>
  <si>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</si>
  <si>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</si>
  <si>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</si>
  <si>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</si>
  <si>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</si>
  <si>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</si>
  <si>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</si>
  <si>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</si>
  <si>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</si>
  <si>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</si>
  <si>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</si>
  <si>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</si>
  <si>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</si>
  <si>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</si>
  <si>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</si>
  <si>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</si>
  <si>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</si>
  <si>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</si>
  <si>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</si>
  <si>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</si>
  <si>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</si>
  <si>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</si>
  <si>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</si>
  <si>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</si>
  <si>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</si>
  <si>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</si>
  <si>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</si>
  <si>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</si>
  <si>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</si>
  <si>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</si>
  <si>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</si>
  <si>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</si>
  <si>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</si>
  <si>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</si>
  <si>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</si>
  <si>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</si>
  <si>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</si>
  <si>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</si>
  <si>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</si>
  <si>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</si>
  <si>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</si>
  <si>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</si>
  <si>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</si>
  <si>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</si>
  <si>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</si>
  <si>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</si>
  <si>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</si>
  <si>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</si>
  <si>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</si>
  <si>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</si>
  <si>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</si>
  <si>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</si>
  <si>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</si>
  <si>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</si>
  <si>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</si>
  <si>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</si>
  <si>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</si>
  <si>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</si>
  <si>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</si>
  <si>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</si>
  <si>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</si>
  <si>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</si>
  <si>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</si>
  <si>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</si>
  <si>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</si>
  <si>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</si>
  <si>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</si>
  <si>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</si>
  <si>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</si>
  <si>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</si>
  <si>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</si>
  <si>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</si>
  <si>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</si>
  <si>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</si>
  <si>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</si>
  <si>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</si>
  <si>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</si>
  <si>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</si>
  <si>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</si>
  <si>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</si>
  <si>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</si>
  <si>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</si>
  <si>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</si>
  <si>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</si>
  <si>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</si>
  <si>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</si>
  <si>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</si>
  <si>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</si>
  <si>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</si>
  <si>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</si>
  <si>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</si>
  <si>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</si>
  <si>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</si>
  <si>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</si>
  <si>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</si>
  <si>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</si>
  <si>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</si>
  <si>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</si>
  <si>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</si>
  <si>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</si>
  <si>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</si>
  <si>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</si>
  <si>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</si>
  <si>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</si>
  <si>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</si>
  <si>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</si>
  <si>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</si>
  <si>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</si>
  <si>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</si>
  <si>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</si>
  <si>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</si>
  <si>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</si>
  <si>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</si>
  <si>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</si>
  <si>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</si>
  <si>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</si>
  <si>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</si>
  <si>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</si>
  <si>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</si>
  <si>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</si>
  <si>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</si>
  <si>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</si>
  <si>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</si>
  <si>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</si>
  <si>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</si>
  <si>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Затраты на услуги водоотведения</t>
  </si>
  <si>
    <t>Расходы на оплату работ и услуг производственного характера, выполняемых по договорам со сторонними организациями</t>
  </si>
  <si>
    <t>Расходы на уплату налогов, сборов и других обязательных платежей</t>
  </si>
  <si>
    <t>Другие расходы, не относящиеся к неподконтрольным</t>
  </si>
  <si>
    <t>Добавить прочие расходы</t>
  </si>
  <si>
    <t>HEAT_P2</t>
  </si>
  <si>
    <t>NOT_HEAT_P2</t>
  </si>
  <si>
    <t>hyp</t>
  </si>
  <si>
    <t>https://portal.eias.ru/Portal/DownloadPage.aspx?type=12&amp;guid=f7e84fd0-65af-4ebc-bfef-5243cc422257</t>
  </si>
  <si>
    <t>COLDVSNA_P1</t>
  </si>
  <si>
    <t>тыс. куб. м</t>
  </si>
  <si>
    <t>HOTVSNA_P2</t>
  </si>
  <si>
    <t>тыс. Гкал</t>
  </si>
  <si>
    <t>VOTV_P1</t>
  </si>
  <si>
    <t>HEAT_P3</t>
  </si>
  <si>
    <t>Мотель</t>
  </si>
  <si>
    <t>Новая Оранжерея</t>
  </si>
  <si>
    <t>Дом советов</t>
  </si>
  <si>
    <t>Горбольница</t>
  </si>
  <si>
    <t>Д/сад №9</t>
  </si>
  <si>
    <t>Ресторан «Центральный» (встроенное) ул. Кирова, 29</t>
  </si>
  <si>
    <t>Д/сад №37</t>
  </si>
  <si>
    <t>Трамвайное управление (встроенное) ул.Кирова, 85</t>
  </si>
  <si>
    <t>Детская больница (пристроенное)</t>
  </si>
  <si>
    <t>Школа №2</t>
  </si>
  <si>
    <t>Гормилиция (подвальное) ул.Рубина, 2</t>
  </si>
  <si>
    <t>Фармакадемия (подвальное) ул. Кирова, 33</t>
  </si>
  <si>
    <t>Жил. дом (подвальное) ул. Соборная, 7</t>
  </si>
  <si>
    <t>Жил. дом (подвальное) ул. Соборная, 15</t>
  </si>
  <si>
    <t>Жил. дом (подвальное) ул. Власова, 37</t>
  </si>
  <si>
    <t>Д/сад №19</t>
  </si>
  <si>
    <t>Школа №25</t>
  </si>
  <si>
    <t xml:space="preserve">Школа №26 (пристроенное)       </t>
  </si>
  <si>
    <t>Чапаева, 36</t>
  </si>
  <si>
    <t>Козлова, 36а (мобильное)</t>
  </si>
  <si>
    <t>Жил. дом (подвальное) ул. Мира, 25</t>
  </si>
  <si>
    <t>Баня №5</t>
  </si>
  <si>
    <t>Белая Ромашка</t>
  </si>
  <si>
    <t>м-н «Бештау»</t>
  </si>
  <si>
    <t>ф-ма «Кавказ»</t>
  </si>
  <si>
    <t>ВАО «Интурист»</t>
  </si>
  <si>
    <t>Туристический комплекс «Озерный»</t>
  </si>
  <si>
    <t>Трампарк «Скачки»</t>
  </si>
  <si>
    <t>Детский санаторий «Ромашка»</t>
  </si>
  <si>
    <t>Кинотеатр Бештау</t>
  </si>
  <si>
    <t>Жилой дом  ул. Матвеева, 119</t>
  </si>
  <si>
    <t>Общежитие ПГЛУ (подвальное), ул.Калинина, 42а</t>
  </si>
  <si>
    <t>РКМ, пр. 40 лет Октября, 27</t>
  </si>
  <si>
    <t xml:space="preserve">Школа №18       </t>
  </si>
  <si>
    <t>пр. 40 лет Октября,55 (мобильное)</t>
  </si>
  <si>
    <t>Пост №1</t>
  </si>
  <si>
    <t>Д/сад №30</t>
  </si>
  <si>
    <t>Школа №20</t>
  </si>
  <si>
    <t>Школа №21</t>
  </si>
  <si>
    <t>Школа №19 (мобильное)</t>
  </si>
  <si>
    <t>Станкоремзавод</t>
  </si>
  <si>
    <t xml:space="preserve"> "Пальмиро-Тольятти,34а"</t>
  </si>
  <si>
    <t>Жилой дом (подвальное) пр. Кирова, 47а</t>
  </si>
  <si>
    <t>Жилой дом (подвальное) пр. Кирова, 58</t>
  </si>
  <si>
    <t>Ермолова, 34</t>
  </si>
  <si>
    <t>Школа №22 (мобильное)</t>
  </si>
  <si>
    <t>Баксанская, 3б (мобильное)</t>
  </si>
  <si>
    <t>Крайнего, 90 (мобильное)</t>
  </si>
  <si>
    <t>Калинина, 108 (мобильное)</t>
  </si>
  <si>
    <t>Машукская</t>
  </si>
  <si>
    <t>Константиновская</t>
  </si>
  <si>
    <t>Привольное</t>
  </si>
  <si>
    <t>Украинская,14 (мобильное)</t>
  </si>
  <si>
    <t>Золотушка</t>
  </si>
  <si>
    <t>Козлова -Комарова (мобильное)</t>
  </si>
  <si>
    <t>Солдатский проезд,2, ПЦВС</t>
  </si>
  <si>
    <t>Тольятти,263 (мобильное)</t>
  </si>
  <si>
    <t>Детсад №2 (встроенное)</t>
  </si>
  <si>
    <t>Ессентукская,64  (крышная)</t>
  </si>
  <si>
    <t>Ессентукская,36 (крышная)</t>
  </si>
  <si>
    <t>Бутырина,30  (крышная)</t>
  </si>
  <si>
    <t>Теплосерная,123 (мобильное)</t>
  </si>
  <si>
    <t>пос.Нижнеподкумский</t>
  </si>
  <si>
    <t>Ермолова,40а</t>
  </si>
  <si>
    <t>Д/сад №41 Планета детства</t>
  </si>
  <si>
    <t>Д/сад №14 "Сказка"</t>
  </si>
  <si>
    <t>Д/сад №15 Казачок"</t>
  </si>
  <si>
    <t>Д/сад №16 "Колокольчик"</t>
  </si>
  <si>
    <t>Д/сад №23 "Светлячок"</t>
  </si>
  <si>
    <t>МФЦ</t>
  </si>
  <si>
    <t xml:space="preserve">Школа №31 </t>
  </si>
  <si>
    <t>Власова, 51</t>
  </si>
  <si>
    <t>ул.Крайнего,2</t>
  </si>
  <si>
    <t>Грязелечебница</t>
  </si>
  <si>
    <t>Матвеева,1</t>
  </si>
  <si>
    <t>Бештаугорское шоссе, 7</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</si>
  <si>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</si>
  <si>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</si>
  <si>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</si>
  <si>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</si>
  <si>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</si>
  <si>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</si>
  <si>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</si>
  <si>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</si>
  <si>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</si>
  <si>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</si>
  <si>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</si>
  <si>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Дом Советов</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</si>
  <si>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</si>
  <si>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</si>
  <si>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</si>
  <si>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</si>
  <si>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https://portal.eias.ru/Portal/DownloadPage.aspx?type=12&amp;guid=8148c6c3-5526-49aa-87e9-e38a6b2a3532</t>
  </si>
  <si>
    <t>https://portal.eias.ru/Portal/DownloadPage.aspx?type=12&amp;guid=5065f944-e45d-4e9b-974b-eba932073cde</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</si>
  <si>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</si>
  <si>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</si>
  <si>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</si>
  <si>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</si>
  <si>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</si>
  <si>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</si>
  <si>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</si>
  <si>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</si>
  <si>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</si>
  <si>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</si>
  <si>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</si>
  <si>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</si>
  <si>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</si>
  <si>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</si>
  <si>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</si>
  <si>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</si>
  <si>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</si>
  <si>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</si>
  <si>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</si>
  <si>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</si>
  <si>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</si>
  <si>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</si>
  <si>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</si>
  <si>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</si>
  <si>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</si>
  <si>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</si>
  <si>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</si>
  <si>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</si>
  <si>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</si>
  <si>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</si>
  <si>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</si>
  <si>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</si>
  <si>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</si>
  <si>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</si>
  <si>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</si>
  <si>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</si>
  <si>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</si>
  <si>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</si>
  <si>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</si>
  <si>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</si>
  <si>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</si>
  <si>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</si>
  <si>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</si>
  <si>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</si>
  <si>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</si>
  <si>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</si>
  <si>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</si>
  <si>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</si>
  <si>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</si>
  <si>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</si>
  <si>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</si>
  <si>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</si>
  <si>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</si>
  <si>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</si>
  <si>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</si>
  <si>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</si>
  <si>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</si>
  <si>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</si>
  <si>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</si>
  <si>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</si>
  <si>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</si>
  <si>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</si>
  <si>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</si>
  <si>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</si>
  <si>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</si>
  <si>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</si>
  <si>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</si>
  <si>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</si>
  <si>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</si>
  <si>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</si>
  <si>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</si>
  <si>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</si>
  <si>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</si>
  <si>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</si>
  <si>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</si>
  <si>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</si>
  <si>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</si>
  <si>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</si>
  <si>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</si>
  <si>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</si>
  <si>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</si>
  <si>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</si>
  <si>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</si>
  <si>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</si>
  <si>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</si>
  <si>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</si>
  <si>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</si>
  <si>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</si>
  <si>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</si>
  <si>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</si>
  <si>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</si>
  <si>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</si>
  <si>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</si>
  <si>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</si>
  <si>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</si>
  <si>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</si>
  <si>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</si>
  <si>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</si>
  <si>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</si>
  <si>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</si>
  <si>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</si>
  <si>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</si>
  <si>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</si>
  <si>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</si>
  <si>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</si>
  <si>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</si>
  <si>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</si>
  <si>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</si>
  <si>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</si>
  <si>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</si>
  <si>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</si>
  <si>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</si>
  <si>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</si>
  <si>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</si>
  <si>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</si>
  <si>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</si>
  <si>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</si>
  <si>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</si>
  <si>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</si>
  <si>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</si>
  <si>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</si>
  <si>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</si>
  <si>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</si>
  <si>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</si>
  <si>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</si>
  <si>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</si>
  <si>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</si>
  <si>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</si>
  <si>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</si>
  <si>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</si>
  <si>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</si>
  <si>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</si>
  <si>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</si>
  <si>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</si>
  <si>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</si>
  <si>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</si>
  <si>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</si>
  <si>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</si>
  <si>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</si>
  <si>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</si>
  <si>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</si>
  <si>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</si>
  <si>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</si>
  <si>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</si>
  <si>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</si>
  <si>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</si>
  <si>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</si>
  <si>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</si>
  <si>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</si>
  <si>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</si>
  <si>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</si>
  <si>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</si>
  <si>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</si>
  <si>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</si>
  <si>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</si>
  <si>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</si>
  <si>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</si>
  <si>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</si>
  <si>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</si>
  <si>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</si>
  <si>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</si>
  <si>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</si>
  <si>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</si>
  <si>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</si>
  <si>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</si>
  <si>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</si>
  <si>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</si>
  <si>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</si>
  <si>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</si>
  <si>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</si>
  <si>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</si>
  <si>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</si>
  <si>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</si>
  <si>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</si>
  <si>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</si>
  <si>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</si>
  <si>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</si>
  <si>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</si>
  <si>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</si>
  <si>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</si>
  <si>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</si>
  <si>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</si>
  <si>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</si>
  <si>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</si>
  <si>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</si>
  <si>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</si>
  <si>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</si>
  <si>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</si>
  <si>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</si>
  <si>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</si>
  <si>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</si>
  <si>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</si>
  <si>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</si>
  <si>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</si>
  <si>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</si>
  <si>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</si>
  <si>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</si>
  <si>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</si>
  <si>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</si>
  <si>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</si>
  <si>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</si>
  <si>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</si>
  <si>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</si>
  <si>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</si>
  <si>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</si>
  <si>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</si>
  <si>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</si>
  <si>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</si>
  <si>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</si>
  <si>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</si>
  <si>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</si>
  <si>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</si>
  <si>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</si>
  <si>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</si>
  <si>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</si>
  <si>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</si>
  <si>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</si>
  <si>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</si>
  <si>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</si>
  <si>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</si>
  <si>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</si>
  <si>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</si>
  <si>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</si>
  <si>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</si>
  <si>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</si>
  <si>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</si>
  <si>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</si>
  <si>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</si>
  <si>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</si>
  <si>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</si>
  <si>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</si>
  <si>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</si>
  <si>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</si>
  <si>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</si>
  <si>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</si>
  <si>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</si>
  <si>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</si>
  <si>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</si>
  <si>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</si>
  <si>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утверждено</t>
  </si>
  <si>
    <t>https://portal.eias.ru/Portal/DownloadPage.aspx?type=12&amp;guid=7acbbdd5-5a89-48af-bc60-ed0d26cfaf7a</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</si>
  <si>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</si>
  <si>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</si>
  <si>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</si>
  <si>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</si>
  <si>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</si>
  <si>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</si>
  <si>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</si>
  <si>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</si>
  <si>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</si>
  <si>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</si>
  <si>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</si>
  <si>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</si>
  <si>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</si>
  <si>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</si>
  <si>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</si>
  <si>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</si>
  <si>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</si>
  <si>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</si>
  <si>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</si>
  <si>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</si>
  <si>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</si>
  <si>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</si>
  <si>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</si>
  <si>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</si>
  <si>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</si>
  <si>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</si>
  <si>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</si>
  <si>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</si>
  <si>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</si>
  <si>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</si>
  <si>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</si>
  <si>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</si>
  <si>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</si>
  <si>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</si>
  <si>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</si>
  <si>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</si>
  <si>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</si>
  <si>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</si>
  <si>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</si>
  <si>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</si>
  <si>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</si>
  <si>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</si>
  <si>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</si>
  <si>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</si>
  <si>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</si>
  <si>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</si>
  <si>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</si>
  <si>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</si>
  <si>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</si>
  <si>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</si>
  <si>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</si>
  <si>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</si>
  <si>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</si>
  <si>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</si>
  <si>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</si>
  <si>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</si>
  <si>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</si>
  <si>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</si>
  <si>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</si>
  <si>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</si>
  <si>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</si>
  <si>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</si>
  <si>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</si>
  <si>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</si>
  <si>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</si>
  <si>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</si>
  <si>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</si>
  <si>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</si>
  <si>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</si>
  <si>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</si>
  <si>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</si>
  <si>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</si>
  <si>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</si>
  <si>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</si>
  <si>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</si>
  <si>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</si>
  <si>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</si>
  <si>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</si>
  <si>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</si>
  <si>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</si>
  <si>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</si>
  <si>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</si>
  <si>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</si>
  <si>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</si>
  <si>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</si>
  <si>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</si>
  <si>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</si>
  <si>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</si>
  <si>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</si>
  <si>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</si>
  <si>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</si>
  <si>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</si>
  <si>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</si>
  <si>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</si>
  <si>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</si>
  <si>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</si>
  <si>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</si>
  <si>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</si>
  <si>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</si>
  <si>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</si>
  <si>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</si>
  <si>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</si>
  <si>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</si>
  <si>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</si>
  <si>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</si>
  <si>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</si>
  <si>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</si>
  <si>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</si>
  <si>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</si>
  <si>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</si>
  <si>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</si>
  <si>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</si>
  <si>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</si>
  <si>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</si>
  <si>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</si>
  <si>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</si>
  <si>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</si>
  <si>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</si>
  <si>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</si>
  <si>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</si>
  <si>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</si>
  <si>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</si>
  <si>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</si>
  <si>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</si>
  <si>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</si>
  <si>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</si>
  <si>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</si>
  <si>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</si>
  <si>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</si>
  <si>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</si>
  <si>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</si>
  <si>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</si>
  <si>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</si>
  <si>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</si>
  <si>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</si>
  <si>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</si>
  <si>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</si>
  <si>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</si>
  <si>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</si>
  <si>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</si>
  <si>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</si>
  <si>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</si>
  <si>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</si>
  <si>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</si>
  <si>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</si>
  <si>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</si>
  <si>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</si>
  <si>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</si>
  <si>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</si>
  <si>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</si>
  <si>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</si>
  <si>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</si>
  <si>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</si>
  <si>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</si>
  <si>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</si>
  <si>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</si>
  <si>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</si>
  <si>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</si>
  <si>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</si>
  <si>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</si>
  <si>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</si>
  <si>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15.07.2019 ООО "Пятигорсктеплосервис" в сфере теплоснабжения по развитию систем теплоснабжения, на территории городского округа Город-курорт Пятигорск на 2020-2023 годы</t>
  </si>
  <si>
    <t>повышение надёжности и энергетической эффективности</t>
  </si>
  <si>
    <t>Министерство жилищно-коммунального хозяйства Ставропольского края</t>
  </si>
  <si>
    <t>Администрация г.Пятигорска</t>
  </si>
  <si>
    <t>01.01.2020</t>
  </si>
  <si>
    <t>31.12.2023</t>
  </si>
  <si>
    <t>Приказ министерства жилищно-коммунального хозяйства Ставропольского края от 15.07.2019г. №184«Об утверждении инвестиционной программы ООО «Пятигорсктеплосервис» «Развитие системы теплоснабжения города-курорта Пятигорска на 2020 - 2023 годы»</t>
  </si>
  <si>
    <t>приказ</t>
  </si>
  <si>
    <t>184</t>
  </si>
  <si>
    <t>05.07.2019</t>
  </si>
  <si>
    <t>Об утверждении изменения в инвестиционную программу ООО "Пятигорсктеплосервис" "Развитие системы теплоснабжения города-курорта Пятигорска  на 2020-2023 годы",утвержденную приказом министерства жилищно-коммунального хозяйства Ставропольского края от 15 июля 2019 г. № 184</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</si>
  <si>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</si>
  <si>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</si>
  <si>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</si>
  <si>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</si>
  <si>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</si>
  <si>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</si>
  <si>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</si>
  <si>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</si>
  <si>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</si>
  <si>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</si>
  <si>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</si>
  <si>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</si>
  <si>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</si>
  <si>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</si>
  <si>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</si>
  <si>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</si>
  <si>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</si>
  <si>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</si>
  <si>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</si>
  <si>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</si>
  <si>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</si>
  <si>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</si>
  <si>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</si>
  <si>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</si>
  <si>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</si>
  <si>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</si>
  <si>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</si>
  <si>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</si>
  <si>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</si>
  <si>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</si>
  <si>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</si>
  <si>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</si>
  <si>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 xml:space="preserve">Строительство блочно-модульной котельной (БМК), 2,0 МВт, вместо котельной "БАМ-1576" (ул. Шатило)
</t>
  </si>
  <si>
    <t>Декабрь</t>
  </si>
  <si>
    <t>2020</t>
  </si>
  <si>
    <t>Не выполнено в соответствии с планом</t>
  </si>
  <si>
    <t>Котельная "П.Тольятти,34а"</t>
  </si>
  <si>
    <t>ТИ с сетями</t>
  </si>
  <si>
    <t>г Пятигорск</t>
  </si>
  <si>
    <t>07727000001</t>
  </si>
  <si>
    <t>ул. П.Тольятти</t>
  </si>
  <si>
    <t>34а</t>
  </si>
  <si>
    <t xml:space="preserve">      Прочие амортизационные отчисления</t>
  </si>
  <si>
    <t>Добавить источник финансирования</t>
  </si>
  <si>
    <t>Добавить объект инфраструктуры</t>
  </si>
  <si>
    <t xml:space="preserve">Строительство блочно-модульной котельной (БМК), 0,5 МВт (ул. Ермолова,225)
</t>
  </si>
  <si>
    <t>Котельная Трампарк "Скачки"</t>
  </si>
  <si>
    <t>ул. П. Тольятти</t>
  </si>
  <si>
    <t>150</t>
  </si>
  <si>
    <t>Добавить мероприятие</t>
  </si>
  <si>
    <t>Строительство блочно-модульной котельной (БМК), 2,0 МВт, вместо котельной "БАМ-1576"</t>
  </si>
  <si>
    <t>2021</t>
  </si>
  <si>
    <t xml:space="preserve">  Прибыль направляемая на инвестиции</t>
  </si>
  <si>
    <t xml:space="preserve">Строительство блочно-модульной котельной (БМК), 1,2 МВт
</t>
  </si>
  <si>
    <t>2022</t>
  </si>
  <si>
    <t>Бештаугорское шоссе</t>
  </si>
  <si>
    <t xml:space="preserve">Модернизация оборудования, замена кожухотрубного теплообменного аппарата на современные
</t>
  </si>
  <si>
    <t>2023</t>
  </si>
  <si>
    <t>Октябрь</t>
  </si>
  <si>
    <t>Котельная "Новая Оранжерея"</t>
  </si>
  <si>
    <t>проезд Оранжерейный</t>
  </si>
  <si>
    <t xml:space="preserve">Устройство БМК-198 кВт с заменой существующего оборудования
</t>
  </si>
  <si>
    <t>Август</t>
  </si>
  <si>
    <t>Котельная "40 лет Октября, 55"</t>
  </si>
  <si>
    <t>пр-кт. 40 лет Октября</t>
  </si>
  <si>
    <t>55</t>
  </si>
  <si>
    <t xml:space="preserve">Устройство БМК-396 кВт с заменой существующего оборудования
</t>
  </si>
  <si>
    <t>Котельная "Украинская, 14"</t>
  </si>
  <si>
    <t>ТИ</t>
  </si>
  <si>
    <t>ул. Украинская</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</si>
  <si>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</si>
  <si>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</si>
  <si>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</si>
  <si>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</si>
  <si>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</si>
  <si>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</si>
  <si>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</si>
  <si>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</si>
  <si>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</si>
  <si>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</si>
  <si>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</si>
  <si>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</si>
  <si>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</si>
  <si>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</si>
  <si>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</si>
  <si>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</si>
  <si>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</si>
  <si>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</si>
  <si>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</si>
  <si>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</si>
  <si>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</si>
  <si>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</si>
  <si>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</si>
  <si>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</si>
  <si>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</si>
  <si>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</si>
  <si>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</si>
  <si>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</si>
  <si>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</si>
  <si>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</si>
  <si>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</si>
  <si>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</si>
  <si>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</si>
  <si>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</si>
  <si>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</si>
  <si>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</si>
  <si>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</si>
  <si>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</si>
  <si>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</si>
  <si>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</si>
  <si>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</si>
  <si>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</si>
  <si>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</si>
  <si>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</si>
  <si>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</si>
  <si>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</si>
  <si>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</si>
  <si>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</si>
  <si>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</si>
  <si>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</si>
  <si>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</si>
  <si>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</si>
  <si>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</si>
  <si>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</si>
  <si>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</si>
  <si>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</si>
  <si>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</si>
  <si>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</si>
  <si>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</si>
  <si>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</si>
  <si>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</si>
  <si>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</si>
  <si>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</si>
  <si>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</si>
  <si>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</si>
  <si>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</si>
  <si>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</si>
  <si>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</si>
  <si>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</si>
  <si>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</si>
  <si>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</si>
  <si>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</si>
  <si>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</si>
  <si>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</si>
  <si>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</si>
  <si>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</si>
  <si>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</si>
  <si>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</si>
  <si>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</si>
  <si>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</si>
  <si>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</si>
  <si>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</si>
  <si>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</si>
  <si>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</si>
  <si>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</si>
  <si>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</si>
  <si>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</si>
  <si>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</si>
  <si>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</si>
  <si>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</si>
  <si>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</si>
  <si>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</si>
  <si>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</si>
  <si>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</si>
  <si>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</si>
  <si>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</si>
  <si>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</si>
  <si>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</si>
  <si>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</si>
  <si>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</si>
  <si>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</si>
  <si>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</si>
  <si>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</si>
  <si>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</si>
  <si>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</si>
  <si>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</si>
  <si>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</si>
  <si>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</si>
  <si>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</si>
  <si>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</si>
  <si>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</si>
  <si>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</si>
  <si>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</si>
  <si>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</si>
  <si>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</si>
  <si>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</si>
  <si>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</si>
  <si>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</si>
  <si>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</si>
  <si>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</si>
  <si>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</si>
  <si>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</si>
  <si>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</si>
  <si>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</si>
  <si>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</si>
  <si>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</si>
  <si>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</si>
  <si>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</si>
  <si>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</si>
  <si>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</si>
  <si>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</si>
  <si>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</si>
  <si>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</si>
  <si>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</si>
  <si>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</si>
  <si>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</si>
  <si>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</si>
  <si>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</si>
  <si>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</si>
  <si>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</si>
  <si>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</si>
  <si>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</si>
  <si>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</si>
  <si>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</si>
  <si>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</si>
  <si>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</si>
  <si>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</si>
  <si>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</si>
  <si>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</si>
  <si>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</si>
  <si>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</si>
  <si>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</si>
  <si>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</si>
  <si>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</si>
  <si>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</si>
  <si>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</si>
  <si>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</si>
  <si>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</si>
  <si>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</si>
  <si>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</si>
  <si>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</si>
  <si>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</si>
  <si>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</si>
  <si>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</si>
  <si>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</si>
  <si>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</si>
  <si>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</si>
  <si>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</si>
  <si>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</si>
  <si>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</si>
  <si>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</si>
  <si>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</si>
  <si>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</si>
  <si>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</si>
  <si>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</si>
  <si>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</si>
  <si>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</si>
  <si>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</si>
  <si>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</si>
  <si>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</si>
  <si>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</si>
  <si>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</si>
  <si>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</si>
  <si>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</si>
  <si>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</si>
  <si>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</si>
  <si>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</si>
  <si>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</si>
  <si>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</si>
  <si>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</si>
  <si>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</si>
  <si>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</si>
  <si>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</si>
  <si>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</si>
  <si>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</si>
  <si>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</si>
  <si>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</si>
  <si>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</si>
  <si>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</si>
  <si>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</si>
  <si>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</si>
  <si>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</si>
  <si>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</si>
  <si>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</si>
  <si>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</si>
  <si>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</si>
  <si>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</si>
  <si>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</si>
  <si>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</si>
  <si>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</si>
  <si>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</si>
  <si>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</si>
  <si>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</si>
  <si>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</si>
  <si>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</si>
  <si>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</si>
  <si>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</si>
  <si>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</si>
  <si>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</si>
  <si>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</si>
  <si>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</si>
  <si>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</si>
  <si>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</si>
  <si>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</si>
  <si>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</si>
  <si>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</si>
  <si>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</si>
  <si>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</si>
  <si>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</si>
  <si>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</si>
  <si>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</si>
  <si>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</si>
  <si>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</si>
  <si>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</si>
  <si>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</si>
  <si>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</si>
  <si>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</si>
  <si>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</si>
  <si>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</si>
  <si>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</si>
  <si>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</si>
  <si>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</si>
  <si>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</si>
  <si>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</si>
  <si>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</si>
  <si>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</si>
  <si>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</si>
  <si>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</si>
  <si>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</si>
  <si>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</si>
  <si>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</si>
  <si>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</si>
  <si>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</si>
  <si>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</si>
  <si>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</si>
  <si>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</si>
  <si>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</si>
  <si>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</si>
  <si>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</si>
  <si>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</si>
  <si>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</si>
  <si>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</si>
  <si>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</si>
  <si>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</si>
  <si>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</si>
  <si>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</si>
  <si>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</si>
  <si>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</si>
  <si>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</si>
  <si>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</si>
  <si>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</si>
  <si>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</si>
  <si>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</si>
  <si>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</si>
  <si>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</si>
  <si>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</si>
  <si>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</si>
  <si>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</si>
  <si>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</si>
  <si>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</si>
  <si>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</si>
  <si>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</si>
  <si>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</si>
  <si>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</si>
  <si>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</si>
  <si>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</si>
  <si>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</si>
  <si>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</si>
  <si>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</si>
  <si>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</si>
  <si>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</si>
  <si>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</si>
  <si>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</si>
  <si>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</si>
  <si>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</si>
  <si>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</si>
  <si>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</si>
  <si>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</si>
  <si>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</si>
  <si>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</si>
  <si>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</si>
  <si>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</si>
  <si>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</si>
  <si>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</si>
  <si>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</si>
  <si>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</si>
  <si>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</si>
  <si>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</si>
  <si>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</si>
  <si>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</si>
  <si>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</si>
  <si>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</si>
  <si>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</si>
  <si>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</si>
  <si>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</si>
  <si>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</si>
  <si>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</si>
  <si>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</si>
  <si>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</si>
  <si>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</si>
  <si>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</si>
  <si>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</si>
  <si>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</si>
  <si>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</si>
  <si>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</si>
  <si>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</si>
  <si>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</si>
  <si>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</si>
  <si>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</si>
  <si>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</si>
  <si>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</si>
  <si>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</si>
  <si>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</si>
  <si>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</si>
  <si>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</si>
  <si>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</si>
  <si>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</si>
  <si>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</si>
  <si>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</si>
  <si>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</si>
  <si>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</si>
  <si>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</si>
  <si>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</si>
  <si>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</si>
  <si>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</si>
  <si>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</si>
  <si>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</si>
  <si>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</si>
  <si>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</si>
  <si>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</si>
  <si>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</si>
  <si>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</si>
  <si>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</si>
  <si>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</si>
  <si>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</si>
  <si>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</si>
  <si>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</si>
  <si>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</si>
  <si>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</si>
  <si>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</si>
  <si>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</si>
  <si>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</si>
  <si>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</si>
  <si>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</si>
  <si>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</si>
  <si>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</si>
  <si>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</si>
  <si>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</si>
  <si>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</si>
  <si>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</si>
  <si>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</si>
  <si>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</si>
  <si>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</si>
  <si>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</si>
  <si>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</si>
  <si>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</si>
  <si>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</si>
  <si>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</si>
  <si>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</si>
  <si>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</si>
  <si>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</si>
  <si>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</si>
  <si>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</si>
  <si>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</si>
  <si>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</si>
  <si>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</si>
  <si>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</si>
  <si>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</si>
  <si>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</si>
  <si>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</si>
  <si>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</si>
  <si>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</si>
  <si>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</si>
  <si>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</si>
  <si>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</si>
  <si>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</si>
  <si>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</si>
  <si>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</si>
  <si>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</si>
  <si>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</si>
  <si>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</si>
  <si>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</si>
  <si>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</si>
  <si>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</si>
  <si>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</si>
  <si>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</si>
  <si>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</si>
  <si>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</si>
  <si>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</si>
  <si>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</si>
  <si>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</si>
  <si>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</si>
  <si>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</si>
  <si>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</si>
  <si>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</si>
  <si>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</si>
  <si>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</si>
  <si>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</si>
  <si>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</si>
  <si>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</si>
  <si>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</si>
  <si>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</si>
  <si>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</si>
  <si>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</si>
  <si>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</si>
  <si>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</si>
  <si>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</si>
  <si>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</si>
  <si>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</si>
  <si>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</si>
  <si>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</si>
  <si>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</si>
  <si>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</si>
  <si>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</si>
  <si>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</si>
  <si>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</si>
  <si>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</si>
  <si>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</si>
  <si>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</si>
  <si>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</si>
  <si>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</si>
  <si>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</si>
  <si>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</si>
  <si>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</si>
  <si>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</si>
  <si>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</si>
  <si>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</si>
  <si>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</si>
  <si>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</si>
  <si>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</si>
  <si>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</si>
  <si>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</si>
  <si>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</si>
  <si>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</si>
  <si>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</si>
  <si>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</si>
  <si>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</si>
  <si>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</si>
  <si>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</si>
  <si>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</si>
  <si>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</si>
  <si>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</si>
  <si>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</si>
  <si>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</si>
  <si>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</si>
  <si>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</si>
  <si>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</si>
  <si>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</si>
  <si>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</si>
  <si>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</si>
  <si>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</si>
  <si>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</si>
  <si>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</si>
  <si>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</si>
  <si>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</si>
  <si>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</si>
  <si>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</si>
  <si>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</si>
  <si>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</si>
  <si>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</si>
  <si>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</si>
  <si>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</si>
  <si>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</si>
  <si>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</si>
  <si>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</si>
  <si>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</si>
  <si>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</si>
  <si>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</si>
  <si>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</si>
  <si>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</si>
  <si>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</si>
  <si>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</si>
  <si>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</si>
  <si>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</si>
  <si>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</si>
  <si>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</si>
  <si>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</si>
  <si>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</si>
  <si>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</si>
  <si>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</si>
  <si>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</si>
  <si>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</si>
  <si>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</si>
  <si>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</si>
  <si>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</si>
  <si>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</si>
  <si>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</si>
  <si>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</si>
  <si>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</si>
  <si>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</si>
  <si>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</si>
  <si>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</si>
  <si>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</si>
  <si>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</si>
  <si>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</si>
  <si>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</si>
  <si>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</si>
  <si>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</si>
  <si>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</si>
  <si>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</si>
  <si>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</si>
  <si>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</si>
  <si>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</si>
  <si>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</si>
  <si>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</si>
  <si>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</si>
  <si>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</si>
  <si>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</si>
  <si>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</si>
  <si>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</si>
  <si>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</si>
  <si>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</si>
  <si>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</si>
  <si>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</si>
  <si>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</si>
  <si>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</si>
  <si>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</si>
  <si>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</si>
  <si>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</si>
  <si>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</si>
  <si>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</si>
  <si>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</si>
  <si>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</si>
  <si>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</si>
  <si>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</si>
  <si>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</si>
  <si>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</si>
  <si>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</si>
  <si>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</si>
  <si>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</si>
  <si>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</si>
  <si>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</si>
  <si>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</si>
  <si>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</si>
  <si>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</si>
  <si>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</si>
  <si>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</si>
  <si>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</si>
  <si>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</si>
  <si>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</si>
  <si>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</si>
  <si>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</si>
  <si>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</si>
  <si>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</si>
  <si>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</si>
  <si>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</si>
  <si>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</si>
  <si>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</si>
  <si>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</si>
  <si>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</si>
  <si>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</si>
  <si>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</si>
  <si>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</si>
  <si>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</si>
  <si>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</si>
  <si>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</si>
  <si>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</si>
  <si>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</si>
  <si>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</si>
  <si>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</si>
  <si>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</si>
  <si>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</si>
  <si>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</si>
  <si>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</si>
  <si>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</si>
  <si>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</si>
  <si>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</si>
  <si>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</si>
  <si>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</si>
  <si>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</si>
  <si>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</si>
  <si>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</si>
  <si>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</si>
  <si>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</si>
  <si>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</si>
  <si>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</si>
  <si>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</si>
  <si>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</si>
  <si>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</si>
  <si>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</si>
  <si>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</si>
  <si>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</si>
  <si>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</si>
  <si>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</si>
  <si>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</si>
  <si>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</si>
  <si>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</si>
  <si>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</si>
  <si>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</si>
  <si>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</si>
  <si>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</si>
  <si>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</si>
  <si>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</si>
  <si>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</si>
  <si>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</si>
  <si>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</si>
  <si>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</si>
  <si>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</si>
  <si>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</si>
  <si>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</si>
  <si>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</si>
  <si>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</si>
  <si>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</si>
  <si>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</si>
  <si>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</si>
  <si>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</si>
  <si>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</si>
  <si>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</si>
  <si>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</si>
  <si>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</si>
  <si>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</si>
  <si>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</si>
  <si>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</si>
  <si>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</si>
  <si>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</si>
  <si>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</si>
  <si>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</si>
  <si>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</si>
  <si>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</si>
  <si>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</si>
  <si>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</si>
  <si>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</si>
  <si>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</si>
  <si>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</si>
  <si>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</si>
  <si>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</si>
  <si>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</si>
  <si>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</si>
  <si>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</si>
  <si>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</si>
  <si>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</si>
  <si>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</si>
  <si>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</si>
  <si>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</si>
  <si>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</si>
  <si>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</si>
  <si>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</si>
  <si>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</si>
  <si>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</si>
  <si>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</si>
  <si>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</si>
  <si>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</si>
  <si>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</si>
  <si>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</si>
  <si>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</si>
  <si>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</si>
  <si>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</si>
  <si>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</si>
  <si>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</si>
  <si>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</si>
  <si>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</si>
  <si>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</si>
  <si>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</si>
  <si>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</si>
  <si>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</si>
  <si>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</si>
  <si>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</si>
  <si>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</si>
  <si>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</si>
  <si>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</si>
  <si>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</si>
  <si>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</si>
  <si>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</si>
  <si>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</si>
  <si>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</si>
  <si>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</si>
  <si>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</si>
  <si>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</si>
  <si>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</si>
  <si>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</si>
  <si>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</si>
  <si>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</si>
  <si>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</si>
  <si>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</si>
  <si>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</si>
  <si>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</si>
  <si>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</si>
  <si>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</si>
  <si>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</si>
  <si>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</si>
  <si>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</si>
  <si>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</si>
  <si>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</si>
  <si>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</si>
  <si>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</si>
  <si>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</si>
  <si>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</si>
  <si>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</si>
  <si>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</si>
  <si>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</si>
  <si>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</si>
  <si>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</si>
  <si>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</si>
  <si>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</si>
  <si>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</si>
  <si>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</si>
  <si>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</si>
  <si>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</si>
  <si>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</si>
  <si>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</si>
  <si>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</si>
  <si>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</si>
  <si>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</si>
  <si>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</si>
  <si>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</si>
  <si>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</si>
  <si>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</si>
  <si>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</si>
  <si>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</si>
  <si>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</si>
  <si>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</si>
  <si>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</si>
  <si>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</si>
  <si>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</si>
  <si>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</si>
  <si>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</si>
  <si>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</si>
  <si>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</si>
  <si>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</si>
  <si>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</si>
  <si>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</si>
  <si>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</si>
  <si>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</si>
  <si>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</si>
  <si>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</si>
  <si>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</si>
  <si>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</si>
  <si>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</si>
  <si>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</si>
  <si>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</si>
  <si>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</si>
  <si>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</si>
  <si>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</si>
  <si>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</si>
  <si>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</si>
  <si>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</si>
  <si>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</si>
  <si>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</si>
  <si>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</si>
  <si>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</si>
  <si>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</si>
  <si>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</si>
  <si>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</si>
  <si>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</si>
  <si>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</si>
  <si>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</si>
  <si>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</si>
  <si>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</si>
  <si>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</si>
  <si>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</si>
  <si>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</si>
  <si>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</si>
  <si>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</si>
  <si>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</si>
  <si>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</si>
  <si>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</si>
  <si>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</si>
  <si>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</si>
  <si>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</si>
  <si>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</si>
  <si>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</si>
  <si>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</si>
  <si>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</si>
  <si>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</si>
  <si>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</si>
  <si>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</si>
  <si>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</si>
  <si>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</si>
  <si>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</si>
  <si>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</si>
  <si>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</si>
  <si>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</si>
  <si>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</si>
  <si>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</si>
  <si>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</si>
  <si>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</si>
  <si>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</si>
  <si>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</si>
  <si>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</si>
  <si>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</si>
  <si>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</si>
  <si>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</si>
  <si>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</si>
  <si>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</si>
  <si>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</si>
  <si>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</si>
  <si>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</si>
  <si>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</si>
  <si>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</si>
  <si>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</si>
  <si>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</si>
  <si>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</si>
  <si>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</si>
  <si>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</si>
  <si>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</si>
  <si>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</si>
  <si>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</si>
  <si>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</si>
  <si>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</si>
  <si>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</si>
  <si>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</si>
  <si>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</si>
  <si>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</si>
  <si>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</si>
  <si>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</si>
  <si>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</si>
  <si>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</si>
  <si>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</si>
  <si>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</si>
  <si>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</si>
  <si>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</si>
  <si>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</si>
  <si>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</si>
  <si>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</si>
  <si>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</si>
  <si>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</si>
  <si>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</si>
  <si>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</si>
  <si>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</si>
  <si>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</si>
  <si>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</si>
  <si>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</si>
  <si>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</si>
  <si>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</si>
  <si>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</si>
  <si>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</si>
  <si>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</si>
  <si>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</si>
  <si>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</si>
  <si>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</si>
  <si>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</si>
  <si>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</si>
  <si>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</si>
  <si>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</si>
  <si>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</si>
  <si>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</si>
  <si>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</si>
  <si>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</si>
  <si>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</si>
  <si>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</si>
  <si>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</si>
  <si>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</si>
  <si>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</si>
  <si>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</si>
  <si>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</si>
  <si>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</si>
  <si>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</si>
  <si>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</si>
  <si>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</si>
  <si>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</si>
  <si>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</si>
  <si>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</si>
  <si>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</si>
  <si>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</si>
  <si>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</si>
  <si>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</si>
  <si>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</si>
  <si>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</si>
  <si>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</si>
  <si>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</si>
  <si>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</si>
  <si>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</si>
  <si>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</si>
  <si>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</si>
  <si>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</si>
  <si>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</si>
  <si>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</si>
  <si>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</si>
  <si>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</si>
  <si>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</si>
  <si>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</si>
  <si>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</si>
  <si>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</si>
  <si>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</si>
  <si>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</si>
  <si>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</si>
  <si>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</si>
  <si>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</si>
  <si>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</si>
  <si>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</si>
  <si>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</si>
  <si>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</si>
  <si>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</si>
  <si>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</si>
  <si>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</si>
  <si>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</si>
  <si>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</si>
  <si>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</si>
  <si>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</si>
  <si>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</si>
  <si>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</si>
  <si>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</si>
  <si>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</si>
  <si>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</si>
  <si>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</si>
  <si>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</si>
  <si>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</si>
  <si>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</si>
  <si>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</si>
  <si>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</si>
  <si>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</si>
  <si>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</si>
  <si>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</si>
  <si>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</si>
  <si>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</si>
  <si>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</si>
  <si>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</si>
  <si>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</si>
  <si>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</si>
  <si>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</si>
  <si>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</si>
  <si>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</si>
  <si>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</si>
  <si>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</si>
  <si>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</si>
  <si>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</si>
  <si>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</si>
  <si>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</si>
  <si>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</si>
  <si>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</si>
  <si>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</si>
  <si>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</si>
  <si>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</si>
  <si>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</si>
  <si>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</si>
  <si>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</si>
  <si>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</si>
  <si>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</si>
  <si>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</si>
  <si>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</si>
  <si>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</si>
  <si>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</si>
  <si>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</si>
  <si>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</si>
  <si>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</si>
  <si>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</si>
  <si>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</si>
  <si>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</si>
  <si>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</si>
  <si>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</si>
  <si>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</si>
  <si>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</si>
  <si>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</si>
  <si>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</si>
  <si>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</si>
  <si>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</si>
  <si>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</si>
  <si>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</si>
  <si>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</si>
  <si>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</si>
  <si>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</si>
  <si>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</si>
  <si>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</si>
  <si>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</si>
  <si>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</si>
  <si>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</si>
  <si>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</si>
  <si>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</si>
  <si>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</si>
  <si>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</si>
  <si>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</si>
  <si>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</si>
  <si>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</si>
  <si>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</si>
  <si>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</si>
  <si>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</si>
  <si>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</si>
  <si>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</si>
  <si>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</si>
  <si>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</si>
  <si>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</si>
  <si>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</si>
  <si>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</si>
  <si>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</si>
  <si>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</si>
  <si>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</si>
  <si>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</si>
  <si>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</si>
  <si>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</si>
  <si>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</si>
  <si>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</si>
  <si>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</si>
  <si>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</si>
  <si>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</si>
  <si>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</si>
  <si>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</si>
  <si>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</si>
  <si>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</si>
  <si>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</si>
  <si>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</si>
  <si>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</si>
  <si>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</si>
  <si>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</si>
  <si>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</si>
  <si>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</si>
  <si>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</si>
  <si>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</si>
  <si>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</si>
  <si>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</si>
  <si>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</si>
  <si>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</si>
  <si>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</si>
  <si>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</si>
  <si>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</si>
  <si>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</si>
  <si>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</si>
  <si>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</si>
  <si>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</si>
  <si>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</si>
  <si>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</si>
  <si>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</si>
  <si>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</si>
  <si>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</si>
  <si>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</si>
  <si>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</si>
  <si>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</si>
  <si>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</si>
  <si>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</si>
  <si>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</si>
  <si>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</si>
  <si>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</si>
  <si>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</si>
  <si>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</si>
  <si>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</si>
  <si>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</si>
  <si>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</si>
  <si>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</si>
  <si>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</si>
  <si>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</si>
  <si>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</si>
  <si>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</si>
  <si>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</si>
  <si>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</si>
  <si>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</si>
  <si>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</si>
  <si>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</si>
  <si>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</si>
  <si>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</si>
  <si>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</si>
  <si>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</si>
  <si>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</si>
  <si>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</si>
  <si>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</si>
  <si>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</si>
  <si>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</si>
  <si>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</si>
  <si>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</si>
  <si>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</si>
  <si>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</si>
  <si>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</si>
  <si>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</si>
  <si>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</si>
  <si>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</si>
  <si>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</si>
  <si>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</si>
  <si>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</si>
  <si>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</si>
  <si>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</si>
  <si>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</si>
  <si>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</si>
  <si>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</si>
  <si>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</si>
  <si>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</si>
  <si>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</si>
  <si>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</si>
  <si>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</si>
  <si>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</si>
  <si>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</si>
  <si>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</si>
  <si>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</si>
  <si>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</si>
  <si>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</si>
  <si>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</si>
  <si>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</si>
  <si>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</si>
  <si>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</si>
  <si>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</si>
  <si>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</si>
  <si>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</si>
  <si>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</si>
  <si>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</si>
  <si>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</si>
  <si>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</si>
  <si>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</si>
  <si>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</si>
  <si>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</si>
  <si>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</si>
  <si>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</si>
  <si>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</si>
  <si>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</si>
  <si>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</si>
  <si>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</si>
  <si>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</si>
  <si>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</si>
  <si>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</si>
  <si>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</si>
  <si>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</si>
  <si>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</si>
  <si>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</si>
  <si>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</si>
  <si>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</si>
  <si>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</si>
  <si>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</si>
  <si>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</si>
  <si>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</si>
  <si>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</si>
  <si>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</si>
  <si>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</si>
  <si>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</si>
  <si>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</si>
  <si>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</si>
  <si>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</si>
  <si>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</si>
  <si>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</si>
  <si>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</si>
  <si>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</si>
  <si>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</si>
  <si>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</si>
  <si>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</si>
  <si>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</si>
  <si>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</si>
  <si>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</si>
  <si>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</si>
  <si>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</si>
  <si>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</si>
  <si>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</si>
  <si>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</si>
  <si>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</si>
  <si>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</si>
  <si>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</si>
  <si>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</si>
  <si>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</si>
  <si>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</si>
  <si>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</si>
  <si>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</si>
  <si>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</si>
  <si>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</si>
  <si>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</si>
  <si>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</si>
  <si>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</si>
  <si>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</si>
  <si>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</si>
  <si>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</si>
  <si>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</si>
  <si>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</si>
  <si>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</si>
  <si>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</si>
  <si>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</si>
  <si>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</si>
  <si>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</si>
  <si>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</si>
  <si>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</si>
  <si>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</si>
  <si>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</si>
  <si>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</si>
  <si>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</si>
  <si>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</si>
  <si>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</si>
  <si>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</si>
  <si>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</si>
  <si>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</si>
  <si>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</si>
  <si>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</si>
  <si>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</si>
  <si>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</si>
  <si>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</si>
  <si>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</si>
  <si>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</si>
  <si>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</si>
  <si>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</si>
  <si>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</si>
  <si>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</si>
  <si>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</si>
  <si>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</si>
  <si>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</si>
  <si>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</si>
  <si>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</si>
  <si>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</si>
  <si>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</si>
  <si>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</si>
  <si>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</si>
  <si>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</si>
  <si>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</si>
  <si>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</si>
  <si>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</si>
  <si>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</si>
  <si>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</si>
  <si>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</si>
  <si>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</si>
  <si>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</si>
  <si>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</si>
  <si>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</si>
  <si>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</si>
  <si>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</si>
  <si>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</si>
  <si>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</si>
  <si>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2627</t>
  </si>
  <si>
    <t>26355173</t>
  </si>
  <si>
    <t>АО "Завод Атлант"</t>
  </si>
  <si>
    <t>2607000333</t>
  </si>
  <si>
    <t>260701001</t>
  </si>
  <si>
    <t>26-05-1994 00:00:00</t>
  </si>
  <si>
    <t>26355197</t>
  </si>
  <si>
    <t>АО "Квант-Энергия"</t>
  </si>
  <si>
    <t>2631002155</t>
  </si>
  <si>
    <t>263101001</t>
  </si>
  <si>
    <t>13-12-1994 00:00:00</t>
  </si>
  <si>
    <t>26419409</t>
  </si>
  <si>
    <t>АО "Невинномысский Азот"</t>
  </si>
  <si>
    <t>2631015563</t>
  </si>
  <si>
    <t>31-12-1992 00:00:00</t>
  </si>
  <si>
    <t>26850785</t>
  </si>
  <si>
    <t>АО "ПТЭК"</t>
  </si>
  <si>
    <t>2632800936</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</si>
  <si>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</si>
  <si>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</si>
  <si>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</si>
  <si>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</si>
  <si>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</si>
  <si>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</si>
  <si>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</si>
  <si>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</si>
  <si>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</si>
  <si>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</si>
  <si>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</si>
  <si>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</si>
  <si>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</si>
  <si>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</si>
  <si>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</si>
  <si>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</si>
  <si>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</si>
  <si>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07-07-1999 00:00:00</t>
  </si>
  <si>
    <t>26355198</t>
  </si>
  <si>
    <t>АО "Теплосеть" г. Невинномысск</t>
  </si>
  <si>
    <t>2631054298</t>
  </si>
  <si>
    <t>26355211</t>
  </si>
  <si>
    <t>АО "Теплосеть" г. Ставрополь</t>
  </si>
  <si>
    <t>2635095930</t>
  </si>
  <si>
    <t>263501001</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</si>
  <si>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</si>
  <si>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</si>
  <si>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</si>
  <si>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</si>
  <si>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</si>
  <si>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</si>
  <si>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</si>
  <si>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</si>
  <si>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</si>
  <si>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</si>
  <si>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</si>
  <si>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</si>
  <si>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</si>
  <si>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</si>
  <si>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</si>
  <si>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</si>
  <si>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</si>
  <si>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</si>
  <si>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</si>
  <si>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</si>
  <si>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31246558</t>
  </si>
  <si>
    <t>ГБПОУ ПАТТ</t>
  </si>
  <si>
    <t>2624000742</t>
  </si>
  <si>
    <t>262401001</t>
  </si>
  <si>
    <t>15-05-2001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</si>
  <si>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</si>
  <si>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</si>
  <si>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</si>
  <si>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</si>
  <si>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</si>
  <si>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</si>
  <si>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</si>
  <si>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</si>
  <si>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26355225</t>
  </si>
  <si>
    <t>ГУП СК "Крайтеплоэнерго"</t>
  </si>
  <si>
    <t>2635060510</t>
  </si>
  <si>
    <t>16-01-2002 00:00:00</t>
  </si>
  <si>
    <t>26371332</t>
  </si>
  <si>
    <t>ГУП СК "Ставрополькрайводоканал"</t>
  </si>
  <si>
    <t>2635040105</t>
  </si>
  <si>
    <t>18-11-1997 00:00:00</t>
  </si>
  <si>
    <t>31745057</t>
  </si>
  <si>
    <t>ЗАО "Водная компания "Старый источник"</t>
  </si>
  <si>
    <t>2630024445</t>
  </si>
  <si>
    <t>18-10-2002 00:00:00</t>
  </si>
  <si>
    <t>26360929</t>
  </si>
  <si>
    <t>ЗАО "ЮЭК" филиал в г. Лермонтов Ставропольского края</t>
  </si>
  <si>
    <t>7704262319</t>
  </si>
  <si>
    <t>262902001</t>
  </si>
  <si>
    <t>23-05-2003 00:00:00</t>
  </si>
  <si>
    <t>31558540</t>
  </si>
  <si>
    <t>Запикетная ГПА-ТЭЦ КПП ООО "ЛУКОЙЛ-Ростовэнерго"</t>
  </si>
  <si>
    <t>6164288981</t>
  </si>
  <si>
    <t>262845003</t>
  </si>
  <si>
    <t>01-01-2022 00:00:00</t>
  </si>
  <si>
    <t>30370933</t>
  </si>
  <si>
    <t>ИП Гукасян Владимир Александрович</t>
  </si>
  <si>
    <t>263603503719</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</si>
  <si>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</si>
  <si>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</si>
  <si>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</si>
  <si>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</si>
  <si>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</si>
  <si>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</si>
  <si>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</si>
  <si>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</si>
  <si>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</si>
  <si>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31601420</t>
  </si>
  <si>
    <t>ИП Чернов Д.В.</t>
  </si>
  <si>
    <t>781912345501</t>
  </si>
  <si>
    <t>15-09-2020 00:00:00</t>
  </si>
  <si>
    <t>31539861</t>
  </si>
  <si>
    <t>Кисловодская ТЭЦ КПП ООО "ЛУКОЙЛ-Ростовэнерго"</t>
  </si>
  <si>
    <t>262845004</t>
  </si>
  <si>
    <t>26355205</t>
  </si>
  <si>
    <t>ЛПУП  Санаторий "РОДНИК"</t>
  </si>
  <si>
    <t>2632053836</t>
  </si>
  <si>
    <t>29-06-1999 00:00:00</t>
  </si>
  <si>
    <t>26355207</t>
  </si>
  <si>
    <t>ЛПУП "Пятигорская бальнеогрязелечебница"</t>
  </si>
  <si>
    <t>2632054854</t>
  </si>
  <si>
    <t>14-11-2002 00:00:00</t>
  </si>
  <si>
    <t>31424319</t>
  </si>
  <si>
    <t>МБУ "Дорожно-хозяйственное управление"</t>
  </si>
  <si>
    <t>2606009260</t>
  </si>
  <si>
    <t>260601001</t>
  </si>
  <si>
    <t>25-05-2020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</si>
  <si>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</si>
  <si>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</si>
  <si>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</si>
  <si>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</si>
  <si>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</si>
  <si>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</si>
  <si>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</si>
  <si>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</si>
  <si>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</si>
  <si>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</si>
  <si>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26526815</t>
  </si>
  <si>
    <t>МУП ЖКХ Александровского округа</t>
  </si>
  <si>
    <t>2601004596</t>
  </si>
  <si>
    <t>260101001</t>
  </si>
  <si>
    <t>08-09-1998 00:00:00</t>
  </si>
  <si>
    <t>31589489</t>
  </si>
  <si>
    <t>МУП КМО СК "ЖКХ Кочубеевское"</t>
  </si>
  <si>
    <t>2610801118</t>
  </si>
  <si>
    <t>261001001</t>
  </si>
  <si>
    <t>19-03-2014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</si>
  <si>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</si>
  <si>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</si>
  <si>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</si>
  <si>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</si>
  <si>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</si>
  <si>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</si>
  <si>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</si>
  <si>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</si>
  <si>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31634484</t>
  </si>
  <si>
    <t>ООО "ДОМ СТРОЙ"</t>
  </si>
  <si>
    <t>2632102593</t>
  </si>
  <si>
    <t>02-08-2017 00:00:00</t>
  </si>
  <si>
    <t>31062553</t>
  </si>
  <si>
    <t>ООО "КОМС ПЛЮС"</t>
  </si>
  <si>
    <t>2602006892</t>
  </si>
  <si>
    <t>260201001</t>
  </si>
  <si>
    <t>26-06-2017 00:00:00</t>
  </si>
  <si>
    <t>31423130</t>
  </si>
  <si>
    <t>ООО "КОМФОРТНОЕ ЖИЛЬЕ МВ"</t>
  </si>
  <si>
    <t>2630049190</t>
  </si>
  <si>
    <t>31235882</t>
  </si>
  <si>
    <t>ООО "Коммунальное хозяйство" Туркменского муниципального района Ставропольского края</t>
  </si>
  <si>
    <t>2622005600</t>
  </si>
  <si>
    <t>262201001</t>
  </si>
  <si>
    <t>02-07-2018 00:00:00</t>
  </si>
  <si>
    <t>27567409</t>
  </si>
  <si>
    <t>ООО "ЛУКОЙЛ-Ставропольэнерго"</t>
  </si>
  <si>
    <t>2624033219</t>
  </si>
  <si>
    <t>01-08-2011 00:00:00</t>
  </si>
  <si>
    <t>26355170</t>
  </si>
  <si>
    <t>ООО "Мултон Партнерс" филиал в селе Солуно-Дмитриевское</t>
  </si>
  <si>
    <t>7701215046</t>
  </si>
  <si>
    <t>525801001</t>
  </si>
  <si>
    <t>15-04-1999 00:00:00</t>
  </si>
  <si>
    <t>26355190</t>
  </si>
  <si>
    <t>ООО "Объединение котельных курорта" г.Ессентуки</t>
  </si>
  <si>
    <t>2626027362</t>
  </si>
  <si>
    <t>26891086</t>
  </si>
  <si>
    <t>ООО "Ритм-Б"</t>
  </si>
  <si>
    <t>2636032690</t>
  </si>
  <si>
    <t>22-04-2011 00:00:00</t>
  </si>
  <si>
    <t>31491888</t>
  </si>
  <si>
    <t>ООО "СЗ РП-СК"</t>
  </si>
  <si>
    <t>2618015243</t>
  </si>
  <si>
    <t>261801001</t>
  </si>
  <si>
    <t>13-08-2010 00:00:00</t>
  </si>
  <si>
    <t>28952051</t>
  </si>
  <si>
    <t>ООО "СКС"</t>
  </si>
  <si>
    <t>2607000284</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</si>
  <si>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</si>
  <si>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</si>
  <si>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</si>
  <si>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</si>
  <si>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</si>
  <si>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</si>
  <si>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</si>
  <si>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</si>
  <si>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</si>
  <si>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</si>
  <si>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</si>
  <si>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</si>
  <si>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</si>
  <si>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</si>
  <si>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</si>
  <si>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</si>
  <si>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</si>
  <si>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</si>
  <si>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</si>
  <si>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31311400</t>
  </si>
  <si>
    <t>ООО "Теплострой"</t>
  </si>
  <si>
    <t>2625033363</t>
  </si>
  <si>
    <t>11-05-2007 00:00:00</t>
  </si>
  <si>
    <t>30479236</t>
  </si>
  <si>
    <t>ООО "Теплоэнерго Кисловодск"</t>
  </si>
  <si>
    <t>2628057299</t>
  </si>
  <si>
    <t>262801001</t>
  </si>
  <si>
    <t>20-04-2016 00:00:00</t>
  </si>
  <si>
    <t>26891277</t>
  </si>
  <si>
    <t>ООО "Теплый дом"</t>
  </si>
  <si>
    <t>2601009690</t>
  </si>
  <si>
    <t>11-01-2011 00:00:00</t>
  </si>
  <si>
    <t>31707325</t>
  </si>
  <si>
    <t>ООО "Торнадо"</t>
  </si>
  <si>
    <t>2628059994</t>
  </si>
  <si>
    <t>16-12-2019 00:00:00</t>
  </si>
  <si>
    <t>27882380</t>
  </si>
  <si>
    <t>ООО "ЭНЕРГЕТИК" (котельная "Машук" в г. Пятигорске)</t>
  </si>
  <si>
    <t>2618800660</t>
  </si>
  <si>
    <t>26-03-2012 00:00:00</t>
  </si>
  <si>
    <t>31369128</t>
  </si>
  <si>
    <t>ООО "ЭНЕРГИЯ"</t>
  </si>
  <si>
    <t>2630049200</t>
  </si>
  <si>
    <t>19-06-2019 00:00:00</t>
  </si>
  <si>
    <t>31335320</t>
  </si>
  <si>
    <t>ООО "Юг-Ресурс"</t>
  </si>
  <si>
    <t>0901047734</t>
  </si>
  <si>
    <t>090101001</t>
  </si>
  <si>
    <t>26355224</t>
  </si>
  <si>
    <t>ООО «Газпром трансгаз Ставрополь»</t>
  </si>
  <si>
    <t>2636032629</t>
  </si>
  <si>
    <t>263601001</t>
  </si>
  <si>
    <t>30-06-1999 00:00:00</t>
  </si>
  <si>
    <t>31424186</t>
  </si>
  <si>
    <t>ООО КХ Арзгирского района</t>
  </si>
  <si>
    <t>2604006104</t>
  </si>
  <si>
    <t>260401001</t>
  </si>
  <si>
    <t>03-06-2020 00:00:00</t>
  </si>
  <si>
    <t>31461451</t>
  </si>
  <si>
    <t>ООО фирма "Сириус"</t>
  </si>
  <si>
    <t>2636011026</t>
  </si>
  <si>
    <t>25-11-2002 00:00:00</t>
  </si>
  <si>
    <t>30356084</t>
  </si>
  <si>
    <t>Обособленное подразделение "Ставропольское" АО "ГУ ЖКХ"</t>
  </si>
  <si>
    <t>5116000922</t>
  </si>
  <si>
    <t>263445001</t>
  </si>
  <si>
    <t>13-05-2009 00:00:00</t>
  </si>
  <si>
    <t>27051140</t>
  </si>
  <si>
    <t>ПАО "ОГК-2"</t>
  </si>
  <si>
    <t>2607018122</t>
  </si>
  <si>
    <t>781701001</t>
  </si>
  <si>
    <t>09-03-2005 00:00:00</t>
  </si>
  <si>
    <t>26355219</t>
  </si>
  <si>
    <t>ПАО "Ставропольский радиозавод "Сигнал"</t>
  </si>
  <si>
    <t>2635000092</t>
  </si>
  <si>
    <t>26318929</t>
  </si>
  <si>
    <t>ПАО "Ставропольэнергосбыт"</t>
  </si>
  <si>
    <t>2626033550</t>
  </si>
  <si>
    <t>785150001</t>
  </si>
  <si>
    <t>01-04-2005 00:00:00</t>
  </si>
  <si>
    <t>РЕГИОНАЛЬНАЯ ТАРИФНАЯ КОМИССИЯ СТАВРОПОЛЬСКОГО КРАЯ</t>
  </si>
  <si>
    <t>2635105024</t>
  </si>
  <si>
    <t>263401001</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</si>
  <si>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</si>
  <si>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</si>
  <si>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</si>
  <si>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</si>
  <si>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</si>
  <si>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</si>
  <si>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</si>
  <si>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</si>
  <si>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</si>
  <si>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</si>
  <si>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</si>
  <si>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</si>
  <si>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</si>
  <si>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</si>
  <si>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</si>
  <si>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</si>
  <si>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</si>
  <si>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</si>
  <si>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</si>
  <si>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</si>
  <si>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</si>
  <si>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26416944</t>
  </si>
  <si>
    <t>Филиал "Невинномысская ГРЭС" ПАО "ЭЛ5-Энерго"</t>
  </si>
  <si>
    <t>6671156423</t>
  </si>
  <si>
    <t>263102001</t>
  </si>
  <si>
    <t>27-10-2004 00:00:00</t>
  </si>
  <si>
    <t>31062737</t>
  </si>
  <si>
    <t>Филиал АО НПО «Микроген» в г. Ставрополь «Аллерген»</t>
  </si>
  <si>
    <t>7722422237</t>
  </si>
  <si>
    <t>01-01-2018 00:00:00</t>
  </si>
  <si>
    <t>26416974</t>
  </si>
  <si>
    <t>Филиал ПАО "ОГК-2"-Ставропольская ГРЭС</t>
  </si>
  <si>
    <t>260702001</t>
  </si>
  <si>
    <t>26379464</t>
  </si>
  <si>
    <t>АО "Водоканал" г. Невинномысск</t>
  </si>
  <si>
    <t>2631054308</t>
  </si>
  <si>
    <t>30-07-2010 00:00:00</t>
  </si>
  <si>
    <t>26653521</t>
  </si>
  <si>
    <t>АО "Монокристалл"</t>
  </si>
  <si>
    <t>2635116509</t>
  </si>
  <si>
    <t>21-07-2008 00:00:00</t>
  </si>
  <si>
    <t>26645437</t>
  </si>
  <si>
    <t>АО "Ставропольнефтегеофизика"</t>
  </si>
  <si>
    <t>2634011976</t>
  </si>
  <si>
    <t>06-05-1994 00:00:00</t>
  </si>
  <si>
    <t>27741540</t>
  </si>
  <si>
    <t>ГБУ СК «Управление СЭСПН»</t>
  </si>
  <si>
    <t>2636802148</t>
  </si>
  <si>
    <t>09-08-2011 00:00:00</t>
  </si>
  <si>
    <t>26371496</t>
  </si>
  <si>
    <t>ГУП СК "Верхнерусское КХ"</t>
  </si>
  <si>
    <t>2623012008</t>
  </si>
  <si>
    <t>262301001</t>
  </si>
  <si>
    <t>21-09-1998 00:00:00</t>
  </si>
  <si>
    <t>26355180</t>
  </si>
  <si>
    <t>ГУП СК "ЖКХ Советского района"</t>
  </si>
  <si>
    <t>2619001525</t>
  </si>
  <si>
    <t>261901001</t>
  </si>
  <si>
    <t>01-06-1993 00:00:00</t>
  </si>
  <si>
    <t>26371493</t>
  </si>
  <si>
    <t>ГУП СК "Зеленокумский водоканал"</t>
  </si>
  <si>
    <t>2619011227</t>
  </si>
  <si>
    <t>27-09-2005 00:00:00</t>
  </si>
  <si>
    <t>26371497</t>
  </si>
  <si>
    <t>ГУП СК "Коммунальник"</t>
  </si>
  <si>
    <t>2623015288</t>
  </si>
  <si>
    <t>28-03-2001 00:00:00</t>
  </si>
  <si>
    <t>30855619</t>
  </si>
  <si>
    <t>ГУП СК "Корпорация развития Ставропольского края"</t>
  </si>
  <si>
    <t>2634088104</t>
  </si>
  <si>
    <t>29-12-2009 00:00:00</t>
  </si>
  <si>
    <t>30854760</t>
  </si>
  <si>
    <t>ЗАО "Доброжеланный"</t>
  </si>
  <si>
    <t>2624000830</t>
  </si>
  <si>
    <t>12-10-1999 00:00:00</t>
  </si>
  <si>
    <t>26412185</t>
  </si>
  <si>
    <t>ЗАО "Пятигорская птицефабрика"</t>
  </si>
  <si>
    <t>2618016913</t>
  </si>
  <si>
    <t>06-12-2004 00:00:00</t>
  </si>
  <si>
    <t>29-01-2024 00:00:00</t>
  </si>
  <si>
    <t>31092053</t>
  </si>
  <si>
    <t>ИП Николаенко Ю.И.</t>
  </si>
  <si>
    <t>262300362915</t>
  </si>
  <si>
    <t>31-07-2017 00:00:00</t>
  </si>
  <si>
    <t>26414239</t>
  </si>
  <si>
    <t>Колхоз имени Ленина</t>
  </si>
  <si>
    <t>2612000297</t>
  </si>
  <si>
    <t>261201001</t>
  </si>
  <si>
    <t>24-11-2000 00:00:00</t>
  </si>
  <si>
    <t>26414263</t>
  </si>
  <si>
    <t>МП НГО СК "Горьковское жилищно-коммунальное хозяйство"</t>
  </si>
  <si>
    <t>2615012406</t>
  </si>
  <si>
    <t>261501001</t>
  </si>
  <si>
    <t>12-11-2001 00:00:00</t>
  </si>
  <si>
    <t>26371484</t>
  </si>
  <si>
    <t>МП НГО СК "Расшеватский водоканал"</t>
  </si>
  <si>
    <t>2615010800</t>
  </si>
  <si>
    <t>14-09-1998 00:00:00</t>
  </si>
  <si>
    <t>26607132</t>
  </si>
  <si>
    <t>МУП "АКВА" с. Каясула НГО СК</t>
  </si>
  <si>
    <t>2614020796</t>
  </si>
  <si>
    <t>261401001</t>
  </si>
  <si>
    <t>15-12-2009 00:00:00</t>
  </si>
  <si>
    <t>26371474</t>
  </si>
  <si>
    <t>МУП "ВОДНИК" с. Ачикулак НМО СК</t>
  </si>
  <si>
    <t>2614010371</t>
  </si>
  <si>
    <t>15-11-1996 00:00:00</t>
  </si>
  <si>
    <t>26379466</t>
  </si>
  <si>
    <t>МУП "ВОДОКАНАЛ"</t>
  </si>
  <si>
    <t>2633001291</t>
  </si>
  <si>
    <t>25-10-2000 00:00:00</t>
  </si>
  <si>
    <t>26371471</t>
  </si>
  <si>
    <t>МУП "Водоканал" села Дмитриевского</t>
  </si>
  <si>
    <t>2611007620</t>
  </si>
  <si>
    <t>01-09-2005 00:00:00</t>
  </si>
  <si>
    <t>28176846</t>
  </si>
  <si>
    <t>МУП "Водоканал-Т"</t>
  </si>
  <si>
    <t>2623802302</t>
  </si>
  <si>
    <t>26-02-2013 00:00:00</t>
  </si>
  <si>
    <t>26640775</t>
  </si>
  <si>
    <t>МУП "Гарант" НГО СК</t>
  </si>
  <si>
    <t>2614019014</t>
  </si>
  <si>
    <t>24-03-2005 00:00:00</t>
  </si>
  <si>
    <t>26371495</t>
  </si>
  <si>
    <t>МУП "Коммунальное хозяйство села Горькая Балка"</t>
  </si>
  <si>
    <t>2619011442</t>
  </si>
  <si>
    <t>28-02-2006 00:00:00</t>
  </si>
  <si>
    <t>26371470</t>
  </si>
  <si>
    <t>МУП "Коммунальщик"</t>
  </si>
  <si>
    <t>2609022692</t>
  </si>
  <si>
    <t>260901001</t>
  </si>
  <si>
    <t>26-01-2007 00:00:00</t>
  </si>
  <si>
    <t>27519585</t>
  </si>
  <si>
    <t>2623800665</t>
  </si>
  <si>
    <t>08-07-2011 00:00:00</t>
  </si>
  <si>
    <t>26371476</t>
  </si>
  <si>
    <t>МУП "Нептун" НГО СК</t>
  </si>
  <si>
    <t>2614017835</t>
  </si>
  <si>
    <t>17-10-2001 00:00:00</t>
  </si>
  <si>
    <t>26371500</t>
  </si>
  <si>
    <t>МУП "Прогресс"</t>
  </si>
  <si>
    <t>2623019412</t>
  </si>
  <si>
    <t>14-03-2006 00:00:00</t>
  </si>
  <si>
    <t>26371508</t>
  </si>
  <si>
    <t>МУП "Славянка"</t>
  </si>
  <si>
    <t>2630039233</t>
  </si>
  <si>
    <t>03-05-2007 00:00:00</t>
  </si>
  <si>
    <t>31315796</t>
  </si>
  <si>
    <t>МУП ЖКХ и БОН "Коммунальник"</t>
  </si>
  <si>
    <t>2624026571</t>
  </si>
  <si>
    <t>13-05-2002 00:00:00</t>
  </si>
  <si>
    <t>28942344</t>
  </si>
  <si>
    <t>МУП ИГО СК ЖКХ "Подлужное"</t>
  </si>
  <si>
    <t>2607801661</t>
  </si>
  <si>
    <t>17-10-2014 00:00:00</t>
  </si>
  <si>
    <t>26371468</t>
  </si>
  <si>
    <t>МУП КГО СК "Надежда"</t>
  </si>
  <si>
    <t>2609022928</t>
  </si>
  <si>
    <t>25-07-2007 00:00:00</t>
  </si>
  <si>
    <t>26371498</t>
  </si>
  <si>
    <t>МУП ШМО СК "Родник"</t>
  </si>
  <si>
    <t>2623017550</t>
  </si>
  <si>
    <t>30-12-2003 00:00:00</t>
  </si>
  <si>
    <t>31222756</t>
  </si>
  <si>
    <t>Муниципальное унитарное предприятие сельского поселения Этоко Зольского муниципального  района Кабардино-Балкарской Республики "УЮТ"</t>
  </si>
  <si>
    <t>0702011780</t>
  </si>
  <si>
    <t>070201001</t>
  </si>
  <si>
    <t>13-09-2018 00:00:00</t>
  </si>
  <si>
    <t>27164074</t>
  </si>
  <si>
    <t>ОАО "Тищенское"</t>
  </si>
  <si>
    <t>2607017136</t>
  </si>
  <si>
    <t>11-11-2003 00:00:00</t>
  </si>
  <si>
    <t>30839002</t>
  </si>
  <si>
    <t>ОАО "Урожайное"</t>
  </si>
  <si>
    <t>2615012420</t>
  </si>
  <si>
    <t>17-01-2002 00:00:00</t>
  </si>
  <si>
    <t>26371504</t>
  </si>
  <si>
    <t>ООО "ЖКХ Орловка"</t>
  </si>
  <si>
    <t>2624030031</t>
  </si>
  <si>
    <t>28-09-2006 00:00:00</t>
  </si>
  <si>
    <t>26414057</t>
  </si>
  <si>
    <t>ООО "ИРМАГ"</t>
  </si>
  <si>
    <t>2612018858</t>
  </si>
  <si>
    <t>27-01-2004 00:00:00</t>
  </si>
  <si>
    <t>27564249</t>
  </si>
  <si>
    <t>ООО "Исток"</t>
  </si>
  <si>
    <t>0702007920</t>
  </si>
  <si>
    <t>26371503</t>
  </si>
  <si>
    <t>ООО "Краснооктябрьское ЖКХ"</t>
  </si>
  <si>
    <t>2624030024</t>
  </si>
  <si>
    <t>28046959</t>
  </si>
  <si>
    <t>ООО "ЛУКОЙЛ-ЭНЕРГОСЕТИ"</t>
  </si>
  <si>
    <t>5260230051</t>
  </si>
  <si>
    <t>770901001</t>
  </si>
  <si>
    <t>17-01-2013 00:00:00</t>
  </si>
  <si>
    <t>26414003</t>
  </si>
  <si>
    <t>ООО "Нептун"</t>
  </si>
  <si>
    <t>2609021280</t>
  </si>
  <si>
    <t>02-06-2003 00:00:00</t>
  </si>
  <si>
    <t>28855808</t>
  </si>
  <si>
    <t>ООО "ОРБИТА"</t>
  </si>
  <si>
    <t>2618014190</t>
  </si>
  <si>
    <t>06-08-2001 00:00:00</t>
  </si>
  <si>
    <t>31658293</t>
  </si>
  <si>
    <t>ООО "Олимп"</t>
  </si>
  <si>
    <t>2609800350</t>
  </si>
  <si>
    <t>25-06-2013 00:00:00</t>
  </si>
  <si>
    <t>31640635</t>
  </si>
  <si>
    <t>ООО "Перспектива"</t>
  </si>
  <si>
    <t>2635802850</t>
  </si>
  <si>
    <t>26414049</t>
  </si>
  <si>
    <t>ООО "СП "Содружество"</t>
  </si>
  <si>
    <t>2612019820</t>
  </si>
  <si>
    <t>15-07-2008 00:00:00</t>
  </si>
  <si>
    <t>31423903</t>
  </si>
  <si>
    <t>ООО Специализированный застройщик "ТЕРОС"</t>
  </si>
  <si>
    <t>2626028253</t>
  </si>
  <si>
    <t>17-05-2000 00:00:00</t>
  </si>
  <si>
    <t>31420059</t>
  </si>
  <si>
    <t>СОНТ "Октябрь"</t>
  </si>
  <si>
    <t>2624031596</t>
  </si>
  <si>
    <t>30-04-2008 00:00:00</t>
  </si>
  <si>
    <t>26371479</t>
  </si>
  <si>
    <t>СПА "Колхоз им.Ворошилова"</t>
  </si>
  <si>
    <t>2615001041</t>
  </si>
  <si>
    <t>09-09-1997 00:00:00</t>
  </si>
  <si>
    <t>27606482</t>
  </si>
  <si>
    <t>СПК колхоз "Правокумский"</t>
  </si>
  <si>
    <t>2619009161</t>
  </si>
  <si>
    <t>17-07-2000 00:00:00</t>
  </si>
  <si>
    <t>28147219</t>
  </si>
  <si>
    <t>СХАО "Радуга"</t>
  </si>
  <si>
    <t>2615001161</t>
  </si>
  <si>
    <t>12-05-1996 00:00:00</t>
  </si>
  <si>
    <t>28033347</t>
  </si>
  <si>
    <t>ФКУ ИК-6 УФСИН России по Ставропольскому краю</t>
  </si>
  <si>
    <t>2612000434</t>
  </si>
  <si>
    <t>13-05-1999 00:00:00</t>
  </si>
  <si>
    <t>26606928</t>
  </si>
  <si>
    <t>ЗАО "Люминофор-Сервис"</t>
  </si>
  <si>
    <t>2635050255</t>
  </si>
  <si>
    <t>01-12-1999 00:00:00</t>
  </si>
  <si>
    <t>26379457</t>
  </si>
  <si>
    <t>МУП ЖКХ КМО СК</t>
  </si>
  <si>
    <t>2611000128</t>
  </si>
  <si>
    <t>24-09-1997 00:00:00</t>
  </si>
  <si>
    <t>28221858</t>
  </si>
  <si>
    <t>ООО "Аква"</t>
  </si>
  <si>
    <t>0916008329</t>
  </si>
  <si>
    <t>091601001</t>
  </si>
  <si>
    <t>26379452</t>
  </si>
  <si>
    <t>ООО "Ремав"</t>
  </si>
  <si>
    <t>2607012628</t>
  </si>
  <si>
    <t>16-09-1999 00:00:00</t>
  </si>
  <si>
    <t>26411986</t>
  </si>
  <si>
    <t>ООО "СВОП"</t>
  </si>
  <si>
    <t>2636008513</t>
  </si>
  <si>
    <t>08-06-1992 00:00:00</t>
  </si>
  <si>
    <t>31365348</t>
  </si>
  <si>
    <t>ООО "Ставропольский бройлер" филиал "Рыздвяненский"</t>
  </si>
  <si>
    <t>2623030222</t>
  </si>
  <si>
    <t>260743001</t>
  </si>
  <si>
    <t>04-04-2019 00:00:00</t>
  </si>
  <si>
    <t>27519657</t>
  </si>
  <si>
    <t>ООО "ЮТАС"</t>
  </si>
  <si>
    <t>2624800097</t>
  </si>
  <si>
    <t>23-12-2010 00:00:00</t>
  </si>
  <si>
    <t>31707288</t>
  </si>
  <si>
    <t>ИП Акулов А.А.</t>
  </si>
  <si>
    <t>890500713182</t>
  </si>
  <si>
    <t>22-12-2004 00:00:00</t>
  </si>
  <si>
    <t>31690852</t>
  </si>
  <si>
    <t>ИП Багинян Г.Р.</t>
  </si>
  <si>
    <t>263600127030</t>
  </si>
  <si>
    <t>07-11-2008 00:00:00</t>
  </si>
  <si>
    <t>31707274</t>
  </si>
  <si>
    <t>ИП Багинян Р.Г.</t>
  </si>
  <si>
    <t>263600476256</t>
  </si>
  <si>
    <t>31701704</t>
  </si>
  <si>
    <t>ИП Бежанова А.П.</t>
  </si>
  <si>
    <t>263600720507</t>
  </si>
  <si>
    <t>24-08-2020 00:00:00</t>
  </si>
  <si>
    <t>31690994</t>
  </si>
  <si>
    <t>ИП Долгополов С.В.</t>
  </si>
  <si>
    <t>263500444701</t>
  </si>
  <si>
    <t>26-05-2016 00:00:00</t>
  </si>
  <si>
    <t>31690901</t>
  </si>
  <si>
    <t>ИП Мадатян М.С.</t>
  </si>
  <si>
    <t>263601981981</t>
  </si>
  <si>
    <t>31690880</t>
  </si>
  <si>
    <t>ИП Мкртичян А.Ю.</t>
  </si>
  <si>
    <t>263501922460</t>
  </si>
  <si>
    <t>12-11-2013 00:00:00</t>
  </si>
  <si>
    <t>31701582</t>
  </si>
  <si>
    <t>ИП Омельченко Н.П.</t>
  </si>
  <si>
    <t>612900047590</t>
  </si>
  <si>
    <t>28-08-2019 00:00:00</t>
  </si>
  <si>
    <t>31690980</t>
  </si>
  <si>
    <t>ИП Терехова М.С.</t>
  </si>
  <si>
    <t>263511878732</t>
  </si>
  <si>
    <t>19-08-2015 00:00:00</t>
  </si>
  <si>
    <t>31701514</t>
  </si>
  <si>
    <t>ИП Чукунова Е.А.</t>
  </si>
  <si>
    <t>263603746542</t>
  </si>
  <si>
    <t>31690866</t>
  </si>
  <si>
    <t>ИП Шмыгина Е.А.</t>
  </si>
  <si>
    <t>263507354077</t>
  </si>
  <si>
    <t>08-11-2016 00:00:00</t>
  </si>
  <si>
    <t>31690917</t>
  </si>
  <si>
    <t>ИП Шмыгина М.А.</t>
  </si>
  <si>
    <t>263513970525</t>
  </si>
  <si>
    <t>29-08-2019 00:00:00</t>
  </si>
  <si>
    <t>30835825</t>
  </si>
  <si>
    <t>МУП "ЖКХ" Ипатовского района</t>
  </si>
  <si>
    <t>2608007701</t>
  </si>
  <si>
    <t>260801001</t>
  </si>
  <si>
    <t>10-06-1998 00:00:00</t>
  </si>
  <si>
    <t>31694439</t>
  </si>
  <si>
    <t>ООО "АС-Строй"</t>
  </si>
  <si>
    <t>2630804075</t>
  </si>
  <si>
    <t>04-02-2014 00:00:00</t>
  </si>
  <si>
    <t>31448767</t>
  </si>
  <si>
    <t>ООО "АгентМВ"</t>
  </si>
  <si>
    <t>2630050075</t>
  </si>
  <si>
    <t>12-12-2018 00:00:00</t>
  </si>
  <si>
    <t>26414362</t>
  </si>
  <si>
    <t>ООО "Арго"</t>
  </si>
  <si>
    <t>2626005270</t>
  </si>
  <si>
    <t>10-06-1997 00:00:00</t>
  </si>
  <si>
    <t>31694756</t>
  </si>
  <si>
    <t>ООО "Вторресурс"</t>
  </si>
  <si>
    <t>2628058937</t>
  </si>
  <si>
    <t>05-03-2018 00:00:00</t>
  </si>
  <si>
    <t>31694367</t>
  </si>
  <si>
    <t>ООО "ГРИН СИТИ"</t>
  </si>
  <si>
    <t>2630050830</t>
  </si>
  <si>
    <t>19-09-2019 00:00:00</t>
  </si>
  <si>
    <t>31152714</t>
  </si>
  <si>
    <t>ООО "ЖКХ"</t>
  </si>
  <si>
    <t>2630040574</t>
  </si>
  <si>
    <t>17-12-2007 00:00:00</t>
  </si>
  <si>
    <t>26645427</t>
  </si>
  <si>
    <t>ООО "КБ"</t>
  </si>
  <si>
    <t>2624033201</t>
  </si>
  <si>
    <t>28-10-2010 00:00:00</t>
  </si>
  <si>
    <t>31694405</t>
  </si>
  <si>
    <t>ООО "КОМФОРТНАЯ СРЕДА"</t>
  </si>
  <si>
    <t>2630050815</t>
  </si>
  <si>
    <t>12-09-2019 00:00:00</t>
  </si>
  <si>
    <t>31690958</t>
  </si>
  <si>
    <t>ООО "ПТК"</t>
  </si>
  <si>
    <t>2627800105</t>
  </si>
  <si>
    <t>03-02-2014 00:00:00</t>
  </si>
  <si>
    <t>26382163</t>
  </si>
  <si>
    <t>ООО "Полигон Яр"</t>
  </si>
  <si>
    <t>2635074930</t>
  </si>
  <si>
    <t>28-07-2004 00:00:00</t>
  </si>
  <si>
    <t>31690838</t>
  </si>
  <si>
    <t>ООО "Полигон-Сервис"</t>
  </si>
  <si>
    <t>2636090229</t>
  </si>
  <si>
    <t>24-02-2010 00:00:00</t>
  </si>
  <si>
    <t>31707384</t>
  </si>
  <si>
    <t>ООО "РБ ГРУПП"</t>
  </si>
  <si>
    <t>2635240425</t>
  </si>
  <si>
    <t>10-04-2019 00:00:00</t>
  </si>
  <si>
    <t>30983469</t>
  </si>
  <si>
    <t>ООО "СУО"</t>
  </si>
  <si>
    <t>2626045386</t>
  </si>
  <si>
    <t>08-04-2016 00:00:00</t>
  </si>
  <si>
    <t>30474739</t>
  </si>
  <si>
    <t>ООО "Сортировка и переработка"</t>
  </si>
  <si>
    <t>2626800053</t>
  </si>
  <si>
    <t>04-05-2011 00:00:00</t>
  </si>
  <si>
    <t>31690811</t>
  </si>
  <si>
    <t>ООО "Спецсервис"</t>
  </si>
  <si>
    <t>2627024149</t>
  </si>
  <si>
    <t>15-07-2009 00:00:00</t>
  </si>
  <si>
    <t>26647914</t>
  </si>
  <si>
    <t>ООО "Сфера-М"</t>
  </si>
  <si>
    <t>2625036124</t>
  </si>
  <si>
    <t>24-09-2009 00:00:00</t>
  </si>
  <si>
    <t>31694858</t>
  </si>
  <si>
    <t>ООО "ТЕХНОЛОГЯ КОМФОРТА"</t>
  </si>
  <si>
    <t>2630050847</t>
  </si>
  <si>
    <t>20-09-2019 00:00:00</t>
  </si>
  <si>
    <t>31697666</t>
  </si>
  <si>
    <t>ООО "УК СБО"</t>
  </si>
  <si>
    <t>2624033466</t>
  </si>
  <si>
    <t>15-05-2015 00:00:00</t>
  </si>
  <si>
    <t>31152710</t>
  </si>
  <si>
    <t>ООО "Уборочные Технологии"</t>
  </si>
  <si>
    <t>2628058084</t>
  </si>
  <si>
    <t>31-01-2017 00:00:00</t>
  </si>
  <si>
    <t>30431429</t>
  </si>
  <si>
    <t>ООО "ЭКЛАТ"</t>
  </si>
  <si>
    <t>2605016112</t>
  </si>
  <si>
    <t>30-06-2015 00:00:00</t>
  </si>
  <si>
    <t>31694800</t>
  </si>
  <si>
    <t>ООО "ЭСК"</t>
  </si>
  <si>
    <t>2627027277</t>
  </si>
  <si>
    <t>18-09-2019 00:00:00</t>
  </si>
  <si>
    <t>31690966</t>
  </si>
  <si>
    <t>ООО "Эко-Сервис"</t>
  </si>
  <si>
    <t>2635128529</t>
  </si>
  <si>
    <t>23-10-2009 00:00:00</t>
  </si>
  <si>
    <t>31691019</t>
  </si>
  <si>
    <t>ООО "Эко-Сити ПР"</t>
  </si>
  <si>
    <t>2617013934</t>
  </si>
  <si>
    <t>261701001</t>
  </si>
  <si>
    <t>20-07-2015 00:00:00</t>
  </si>
  <si>
    <t>27998960</t>
  </si>
  <si>
    <t>ООО "Эко-Сити"</t>
  </si>
  <si>
    <t>2636803134</t>
  </si>
  <si>
    <t>21-12-2011 00:00:00</t>
  </si>
  <si>
    <t>31206698</t>
  </si>
  <si>
    <t>ООО "Эко-город"</t>
  </si>
  <si>
    <t>2628801895</t>
  </si>
  <si>
    <t>17-06-2013 00:00:00</t>
  </si>
  <si>
    <t>31694819</t>
  </si>
  <si>
    <t>ООО "ЭкоТех"</t>
  </si>
  <si>
    <t>2628059313</t>
  </si>
  <si>
    <t>12-10-2018 00:00:00</t>
  </si>
  <si>
    <t>31694890</t>
  </si>
  <si>
    <t>ООО "Экологистик"</t>
  </si>
  <si>
    <t>2627027301</t>
  </si>
  <si>
    <t>31088956</t>
  </si>
  <si>
    <t>ООО "Экострой"</t>
  </si>
  <si>
    <t>2634812831</t>
  </si>
  <si>
    <t>07-03-2014 00:00:00</t>
  </si>
  <si>
    <t>31694950</t>
  </si>
  <si>
    <t>ООО "Экотехнология"</t>
  </si>
  <si>
    <t>2630050822</t>
  </si>
  <si>
    <t>31694913</t>
  </si>
  <si>
    <t>ООО "ЮГАВТОТРАНС"</t>
  </si>
  <si>
    <t>2630050893</t>
  </si>
  <si>
    <t>14-10-2019 00:00:00</t>
  </si>
  <si>
    <t>28149169</t>
  </si>
  <si>
    <t>ООО "Югагролизинг"</t>
  </si>
  <si>
    <t>2630042934</t>
  </si>
  <si>
    <t>31-03-2009 00:00:00</t>
  </si>
  <si>
    <t>26607051</t>
  </si>
  <si>
    <t>ООО ЖКХ "Левокумского района"</t>
  </si>
  <si>
    <t>2613009334</t>
  </si>
  <si>
    <t>261301001</t>
  </si>
  <si>
    <t>01-08-2007 00:00:00</t>
  </si>
  <si>
    <t>NSRF</t>
  </si>
  <si>
    <t>MR_NAME</t>
  </si>
  <si>
    <t>OKTMO_MR_NAME</t>
  </si>
  <si>
    <t>MO_NAME</t>
  </si>
  <si>
    <t>OKTMO_NAME</t>
  </si>
  <si>
    <t>TYPE</t>
  </si>
  <si>
    <t>MR_ID</t>
  </si>
  <si>
    <t>Александровский муниципальный округ</t>
  </si>
  <si>
    <t>07502000</t>
  </si>
  <si>
    <t>муниципальный округ</t>
  </si>
  <si>
    <t>Андроповский муниципальный округ</t>
  </si>
  <si>
    <t>07503000</t>
  </si>
  <si>
    <t>Апанасенковский муниципальный округ</t>
  </si>
  <si>
    <t>07505000</t>
  </si>
  <si>
    <t>Арзгирский муниципальный округ</t>
  </si>
  <si>
    <t>07507000</t>
  </si>
  <si>
    <t>Благодарненский</t>
  </si>
  <si>
    <t>07705000</t>
  </si>
  <si>
    <t>городской округ</t>
  </si>
  <si>
    <t>Благодарненский муниципальный округ</t>
  </si>
  <si>
    <t>07510000</t>
  </si>
  <si>
    <t>Будённовский муниципальный округ</t>
  </si>
  <si>
    <t>07512000</t>
  </si>
  <si>
    <t>Георгиевский</t>
  </si>
  <si>
    <t>07707000</t>
  </si>
  <si>
    <t>Георгиевский муниципальный округ</t>
  </si>
  <si>
    <t>07515000</t>
  </si>
  <si>
    <t>Город Лермонтов</t>
  </si>
  <si>
    <t>07718000</t>
  </si>
  <si>
    <t>Город Невинномысск</t>
  </si>
  <si>
    <t>07724000</t>
  </si>
  <si>
    <t>Город Ставрополь</t>
  </si>
  <si>
    <t>07701000</t>
  </si>
  <si>
    <t>Город-курорт Ессентуки</t>
  </si>
  <si>
    <t>07710000</t>
  </si>
  <si>
    <t>Город-курорт Железноводск</t>
  </si>
  <si>
    <t>07712000</t>
  </si>
  <si>
    <t>Город-курорт Кисловодск</t>
  </si>
  <si>
    <t>07715000</t>
  </si>
  <si>
    <t>Грачёвский муниципальный округ</t>
  </si>
  <si>
    <t>07517000</t>
  </si>
  <si>
    <t>Изобильненский</t>
  </si>
  <si>
    <t>07713000</t>
  </si>
  <si>
    <t>Изобильненский муниципальный округ</t>
  </si>
  <si>
    <t>07520000</t>
  </si>
  <si>
    <t>Ипатовский</t>
  </si>
  <si>
    <t>07714000</t>
  </si>
  <si>
    <t>Ипатовский муниципальный округ</t>
  </si>
  <si>
    <t>07522000</t>
  </si>
  <si>
    <t>Кировский</t>
  </si>
  <si>
    <t>07716000</t>
  </si>
  <si>
    <t>Кировский муниципальный округ</t>
  </si>
  <si>
    <t>07525000</t>
  </si>
  <si>
    <t>Кочубеевский муниципальный округ</t>
  </si>
  <si>
    <t>07528000</t>
  </si>
  <si>
    <t>Красногвардейский муниципальный округ</t>
  </si>
  <si>
    <t>07530000</t>
  </si>
  <si>
    <t>Курский муниципальный округ</t>
  </si>
  <si>
    <t>07533000</t>
  </si>
  <si>
    <t>Левокумский муниципальный округ</t>
  </si>
  <si>
    <t>07536000</t>
  </si>
  <si>
    <t>Минераловодский</t>
  </si>
  <si>
    <t>07721000</t>
  </si>
  <si>
    <t>Минераловодский муниципальный округ</t>
  </si>
  <si>
    <t>07539000</t>
  </si>
  <si>
    <t>Нефтекумский</t>
  </si>
  <si>
    <t>07725000</t>
  </si>
  <si>
    <t>Нефтекумский муниципальный округ</t>
  </si>
  <si>
    <t>07541000</t>
  </si>
  <si>
    <t>Новоалександровский</t>
  </si>
  <si>
    <t>07726000</t>
  </si>
  <si>
    <t>Новоалександровский муниципальный округ</t>
  </si>
  <si>
    <t>07543000</t>
  </si>
  <si>
    <t>Новоселицкий муниципальный округ</t>
  </si>
  <si>
    <t>07544000</t>
  </si>
  <si>
    <t>Петровский</t>
  </si>
  <si>
    <t>07731000</t>
  </si>
  <si>
    <t>Петровский муниципальный округ</t>
  </si>
  <si>
    <t>07546000</t>
  </si>
  <si>
    <t>Предгорный муниципальный округ</t>
  </si>
  <si>
    <t>07548000</t>
  </si>
  <si>
    <t>Советский</t>
  </si>
  <si>
    <t>07735000</t>
  </si>
  <si>
    <t>Советский муниципальный округ</t>
  </si>
  <si>
    <t>07550000</t>
  </si>
  <si>
    <t>Степновский муниципальный округ</t>
  </si>
  <si>
    <t>07552000</t>
  </si>
  <si>
    <t>Труновский муниципальный округ</t>
  </si>
  <si>
    <t>07554000</t>
  </si>
  <si>
    <t>Туркменский муниципальный округ</t>
  </si>
  <si>
    <t>07556000</t>
  </si>
  <si>
    <t>Шпаковский муниципальный округ</t>
  </si>
  <si>
    <t>07558000</t>
  </si>
  <si>
    <t>NUMBER_POINT</t>
  </si>
  <si>
    <t>INVP_NAME</t>
  </si>
  <si>
    <t>INVP_ID</t>
  </si>
  <si>
    <t>L_START_DATE</t>
  </si>
  <si>
    <t>L_END_DATE</t>
  </si>
  <si>
    <t>L_DECISION_NAME</t>
  </si>
  <si>
    <t>L_DECISION_TYPE</t>
  </si>
  <si>
    <t>L_DECISION_NMBR</t>
  </si>
  <si>
    <t>L_DECISION_DATE</t>
  </si>
  <si>
    <t>5185364387</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</si>
  <si>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</si>
  <si>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</si>
  <si>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</si>
  <si>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</si>
  <si>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</si>
  <si>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</si>
  <si>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</si>
  <si>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</si>
  <si>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</si>
  <si>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</si>
  <si>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</si>
  <si>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</si>
  <si>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</si>
  <si>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</si>
  <si>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</si>
  <si>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</si>
  <si>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</si>
  <si>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</si>
  <si>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</si>
  <si>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</si>
  <si>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</si>
  <si>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</si>
  <si>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</si>
  <si>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</si>
  <si>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</si>
  <si>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</si>
  <si>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</si>
  <si>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</si>
  <si>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</si>
  <si>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</si>
  <si>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</si>
  <si>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</si>
  <si>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частная собственность</t>
  </si>
  <si>
    <t>собственное имущество</t>
  </si>
  <si>
    <t>эксплуатируется</t>
  </si>
  <si>
    <t>акт ввода в эксплуатацию</t>
  </si>
  <si>
    <t>собственность</t>
  </si>
  <si>
    <t>1.112</t>
  </si>
  <si>
    <t>.652</t>
  </si>
  <si>
    <t>[Газ природный]</t>
  </si>
  <si>
    <t>ул. Власова</t>
  </si>
  <si>
    <t>государственное имущество</t>
  </si>
  <si>
    <t>без торгов - исключение по статье 17.1 Федерального закона от 26.07.2006 N 135-ФЗ "О защите конкуренции"</t>
  </si>
  <si>
    <t>https://portal.eias.ru/Portal/DownloadPage.aspx?type=12&amp;guid=d571faca-5782-4f6a-8046-a40c58c4a8fe</t>
  </si>
  <si>
    <t>договор</t>
  </si>
  <si>
    <t>аренда</t>
  </si>
  <si>
    <t>199 У 08</t>
  </si>
  <si>
    <t>30.06.2008</t>
  </si>
  <si>
    <t>.172</t>
  </si>
  <si>
    <t>.097</t>
  </si>
  <si>
    <t>.26</t>
  </si>
  <si>
    <t>.0954</t>
  </si>
  <si>
    <t>.181</t>
  </si>
  <si>
    <t>Котельная "Баксанская, 3б"</t>
  </si>
  <si>
    <t>ул. Баксанская</t>
  </si>
  <si>
    <t>3б</t>
  </si>
  <si>
    <t>.148</t>
  </si>
  <si>
    <t>.17</t>
  </si>
  <si>
    <t>Котельная "Баня 5"</t>
  </si>
  <si>
    <t>ул. 1-я Набережная</t>
  </si>
  <si>
    <t>22а</t>
  </si>
  <si>
    <t>https://portal.eias.ru/Portal/DownloadPage.aspx?type=12&amp;guid=fe762f2e-d0a0-4942-af4c-972bc7ebada9</t>
  </si>
  <si>
    <t>49-9-184/16</t>
  </si>
  <si>
    <t>01.05.2016</t>
  </si>
  <si>
    <t>4.294</t>
  </si>
  <si>
    <t>Котельная "Белая Ромашка"</t>
  </si>
  <si>
    <t>ул. Московская</t>
  </si>
  <si>
    <t>65</t>
  </si>
  <si>
    <t>74.9</t>
  </si>
  <si>
    <t>39.157</t>
  </si>
  <si>
    <t>Котельная "Бутырина, 30"</t>
  </si>
  <si>
    <t>ул. Бутырина</t>
  </si>
  <si>
    <t>.63</t>
  </si>
  <si>
    <t>.439</t>
  </si>
  <si>
    <t>Котельная "ВАО Интурист"</t>
  </si>
  <si>
    <t>ул. Огородная</t>
  </si>
  <si>
    <t>1.927</t>
  </si>
  <si>
    <t>Котельная "Власова, 37"</t>
  </si>
  <si>
    <t>.34</t>
  </si>
  <si>
    <t>.305</t>
  </si>
  <si>
    <t>.344</t>
  </si>
  <si>
    <t>Котельная "Горбольница"</t>
  </si>
  <si>
    <t>пр. Калинина</t>
  </si>
  <si>
    <t>3.22</t>
  </si>
  <si>
    <t>Котельная "Детсад 14"</t>
  </si>
  <si>
    <t>ул. Булгакова</t>
  </si>
  <si>
    <t>.138</t>
  </si>
  <si>
    <t>.055</t>
  </si>
  <si>
    <t>.14</t>
  </si>
  <si>
    <t>Котельная "Детсад 15"</t>
  </si>
  <si>
    <t>ул. Петра Первого</t>
  </si>
  <si>
    <t>.345</t>
  </si>
  <si>
    <t>.23</t>
  </si>
  <si>
    <t>Котельная "Детсад 16"</t>
  </si>
  <si>
    <t>ул. Малиновского</t>
  </si>
  <si>
    <t>.52</t>
  </si>
  <si>
    <t>.381</t>
  </si>
  <si>
    <t>Котельная "Детсад 19"</t>
  </si>
  <si>
    <t>ул. Батарейная/ул. Зеленая</t>
  </si>
  <si>
    <t>42/43</t>
  </si>
  <si>
    <t>.102</t>
  </si>
  <si>
    <t>.049</t>
  </si>
  <si>
    <t>Котельная "Детсад 2"</t>
  </si>
  <si>
    <t>пр-т Советской армии</t>
  </si>
  <si>
    <t>21а</t>
  </si>
  <si>
    <t>.12</t>
  </si>
  <si>
    <t>Котельная "Детсад 23"</t>
  </si>
  <si>
    <t>.376</t>
  </si>
  <si>
    <t>Котельная "Детсад 30"</t>
  </si>
  <si>
    <t>пр. Советской Армии</t>
  </si>
  <si>
    <t>134</t>
  </si>
  <si>
    <t>.104</t>
  </si>
  <si>
    <t>.061</t>
  </si>
  <si>
    <t>.1</t>
  </si>
  <si>
    <t>.06</t>
  </si>
  <si>
    <t>Котельная "Детсад 37"</t>
  </si>
  <si>
    <t>ул. Коста Хетагурова</t>
  </si>
  <si>
    <t>69</t>
  </si>
  <si>
    <t>1.63</t>
  </si>
  <si>
    <t>Котельная "Детсад 41"</t>
  </si>
  <si>
    <t>ул. Советской Армии</t>
  </si>
  <si>
    <t>59-61</t>
  </si>
  <si>
    <t>.479</t>
  </si>
  <si>
    <t>Котельная "Детсад 9"</t>
  </si>
  <si>
    <t>ул. Теплосерная</t>
  </si>
  <si>
    <t>108</t>
  </si>
  <si>
    <t>.08</t>
  </si>
  <si>
    <t>.076</t>
  </si>
  <si>
    <t>Котельная "Детская больница"</t>
  </si>
  <si>
    <t>ул. Пушкинская</t>
  </si>
  <si>
    <t>2.409</t>
  </si>
  <si>
    <t>Котельная "Детский санаторий "Ромашка"</t>
  </si>
  <si>
    <t>ул.Ермолова</t>
  </si>
  <si>
    <t>213</t>
  </si>
  <si>
    <t>.422</t>
  </si>
  <si>
    <t>.42</t>
  </si>
  <si>
    <t>Котельная "Дом Советов"</t>
  </si>
  <si>
    <t>24.9</t>
  </si>
  <si>
    <t>16.81</t>
  </si>
  <si>
    <t>16.805</t>
  </si>
  <si>
    <t>Котельная "Ермолова, 34"</t>
  </si>
  <si>
    <t>ул. Ермолова</t>
  </si>
  <si>
    <t>.153</t>
  </si>
  <si>
    <t>Котельная "Ермолова, 40а"</t>
  </si>
  <si>
    <t>40а</t>
  </si>
  <si>
    <t>.337</t>
  </si>
  <si>
    <t>Котельная "Ессентукская, 36"</t>
  </si>
  <si>
    <t>ул. Ессентукская</t>
  </si>
  <si>
    <t>1.02</t>
  </si>
  <si>
    <t>.853</t>
  </si>
  <si>
    <t>Котельная "Ессентуская, 64"</t>
  </si>
  <si>
    <t>64</t>
  </si>
  <si>
    <t>.768</t>
  </si>
  <si>
    <t>Котельная "Золотушка"</t>
  </si>
  <si>
    <t>ул. Заречная</t>
  </si>
  <si>
    <t>.147</t>
  </si>
  <si>
    <t>Котельная "Калинина, 108"</t>
  </si>
  <si>
    <t>пр-кт Калинина</t>
  </si>
  <si>
    <t>.128</t>
  </si>
  <si>
    <t>Котельная "Калинина, 42а"</t>
  </si>
  <si>
    <t>42а</t>
  </si>
  <si>
    <t>2.25</t>
  </si>
  <si>
    <t>2.207</t>
  </si>
  <si>
    <t>Котельная "Кинотеатр Бештау"</t>
  </si>
  <si>
    <t>ул. Комсомольская</t>
  </si>
  <si>
    <t>102</t>
  </si>
  <si>
    <t>1.758</t>
  </si>
  <si>
    <t>Котельная "Кирова, 29"</t>
  </si>
  <si>
    <t>пр-кт. Кирова</t>
  </si>
  <si>
    <t>https://portal.eias.ru/Portal/DownloadPage.aspx?type=12&amp;guid=3634590e-6d77-44d3-8556-3a79dbe32661</t>
  </si>
  <si>
    <t>16.12.2020</t>
  </si>
  <si>
    <t>1.03</t>
  </si>
  <si>
    <t>1.025</t>
  </si>
  <si>
    <t>1.034</t>
  </si>
  <si>
    <t>Котельная "Кирова, 33"</t>
  </si>
  <si>
    <t>пр-кт Кирова</t>
  </si>
  <si>
    <t>.66</t>
  </si>
  <si>
    <t>.424</t>
  </si>
  <si>
    <t>Котельная "Кирова, 47"</t>
  </si>
  <si>
    <t>.258</t>
  </si>
  <si>
    <t>.244</t>
  </si>
  <si>
    <t>Котельная "Кирова, 58"</t>
  </si>
  <si>
    <t>Котельная "Кирова, 67"</t>
  </si>
  <si>
    <t>67</t>
  </si>
  <si>
    <t>https://portal.eias.ru/Portal/DownloadPage.aspx?type=12&amp;guid=862ac273-dfd1-4181-baae-deda61e2c5e4</t>
  </si>
  <si>
    <t>01.07.2016</t>
  </si>
  <si>
    <t>13.75</t>
  </si>
  <si>
    <t>9.93</t>
  </si>
  <si>
    <t>13.3</t>
  </si>
  <si>
    <t>Котельная "Кирова, 85"</t>
  </si>
  <si>
    <t>85</t>
  </si>
  <si>
    <t>1.32</t>
  </si>
  <si>
    <t>1.31</t>
  </si>
  <si>
    <t>Котельная "Козлова, 36а"</t>
  </si>
  <si>
    <t>ул. Козлова</t>
  </si>
  <si>
    <t>36а</t>
  </si>
  <si>
    <t>.056</t>
  </si>
  <si>
    <t>Котельная "Козлова-Комарова"</t>
  </si>
  <si>
    <t>ул. Комарова/Козлова</t>
  </si>
  <si>
    <t>6/54</t>
  </si>
  <si>
    <t>.516</t>
  </si>
  <si>
    <t>.358</t>
  </si>
  <si>
    <t>.517</t>
  </si>
  <si>
    <t>Котельная "Константиновская"</t>
  </si>
  <si>
    <t>ул. Октябрьская</t>
  </si>
  <si>
    <t>112</t>
  </si>
  <si>
    <t>5.9</t>
  </si>
  <si>
    <t>2.625</t>
  </si>
  <si>
    <t>5.55</t>
  </si>
  <si>
    <t>Котельная "Крайнего, 2"</t>
  </si>
  <si>
    <t>ул. Крайнего</t>
  </si>
  <si>
    <t>6.89</t>
  </si>
  <si>
    <t>5.985</t>
  </si>
  <si>
    <t>Котельная "Крайнего, 90"</t>
  </si>
  <si>
    <t>90</t>
  </si>
  <si>
    <t>.211</t>
  </si>
  <si>
    <t>Котельная "МФЦ"</t>
  </si>
  <si>
    <t>ул. Коллективная</t>
  </si>
  <si>
    <t>.129</t>
  </si>
  <si>
    <t>Котельная "Матвеева, 119"</t>
  </si>
  <si>
    <t>ул. Матвеева</t>
  </si>
  <si>
    <t>119</t>
  </si>
  <si>
    <t>.413</t>
  </si>
  <si>
    <t>Котельная "Машукская"</t>
  </si>
  <si>
    <t>пос. Среднеподкумский</t>
  </si>
  <si>
    <t>2.63</t>
  </si>
  <si>
    <t>.874</t>
  </si>
  <si>
    <t>Котельная "Мира, 25"</t>
  </si>
  <si>
    <t>ул. Мира</t>
  </si>
  <si>
    <t>.155</t>
  </si>
  <si>
    <t>.119</t>
  </si>
  <si>
    <t>Котельная "Мотель"</t>
  </si>
  <si>
    <t>ул. 295 Стрелковой Дивизии</t>
  </si>
  <si>
    <t>41.5</t>
  </si>
  <si>
    <t>33.773</t>
  </si>
  <si>
    <t>34.425</t>
  </si>
  <si>
    <t>Котельная "Нижнеподкумский"</t>
  </si>
  <si>
    <t>ул. Зубалова</t>
  </si>
  <si>
    <t>.81</t>
  </si>
  <si>
    <t>.356</t>
  </si>
  <si>
    <t>25.112</t>
  </si>
  <si>
    <t>Котельная "П.Тольятти, 263"</t>
  </si>
  <si>
    <t>263</t>
  </si>
  <si>
    <t>.463</t>
  </si>
  <si>
    <t>2.08</t>
  </si>
  <si>
    <t>1.243</t>
  </si>
  <si>
    <t>Котельная "ПЦВС"</t>
  </si>
  <si>
    <t>Солдатский проезд</t>
  </si>
  <si>
    <t>8.861</t>
  </si>
  <si>
    <t>8.256</t>
  </si>
  <si>
    <t>Котельная "Пост №1"</t>
  </si>
  <si>
    <t>пл. Ленина</t>
  </si>
  <si>
    <t>.205</t>
  </si>
  <si>
    <t>Котельная "Привольное"</t>
  </si>
  <si>
    <t>пос. Привольное, ул. Широкая</t>
  </si>
  <si>
    <t>.6</t>
  </si>
  <si>
    <t>.522</t>
  </si>
  <si>
    <t>Котельная "РКМ"</t>
  </si>
  <si>
    <t>27-31</t>
  </si>
  <si>
    <t>3.524</t>
  </si>
  <si>
    <t>Котельная "Рубина, 2"</t>
  </si>
  <si>
    <t>ул. Рубина</t>
  </si>
  <si>
    <t>.48</t>
  </si>
  <si>
    <t>.264</t>
  </si>
  <si>
    <t>Котельная "Соборная, 15"</t>
  </si>
  <si>
    <t>ул. Соборная</t>
  </si>
  <si>
    <t>.16</t>
  </si>
  <si>
    <t>Котельная "Соборная, 7"</t>
  </si>
  <si>
    <t>.352</t>
  </si>
  <si>
    <t>.76</t>
  </si>
  <si>
    <t>Котельная "Станкоремзавод"</t>
  </si>
  <si>
    <t>ул. Ясная</t>
  </si>
  <si>
    <t>15.9</t>
  </si>
  <si>
    <t>9.485</t>
  </si>
  <si>
    <t>Котельная "Теплосерная, 123"</t>
  </si>
  <si>
    <t>123</t>
  </si>
  <si>
    <t>.68</t>
  </si>
  <si>
    <t>.263</t>
  </si>
  <si>
    <t>Котельная "Туркомплекс Озерный"</t>
  </si>
  <si>
    <t>ул. Егоршина</t>
  </si>
  <si>
    <t>2.561</t>
  </si>
  <si>
    <t>.238</t>
  </si>
  <si>
    <t>Котельная "Фирма Кавказ"</t>
  </si>
  <si>
    <t>12а</t>
  </si>
  <si>
    <t>9.01</t>
  </si>
  <si>
    <t>5.97</t>
  </si>
  <si>
    <t>5.967</t>
  </si>
  <si>
    <t>Котельная "Чапаева, 36"</t>
  </si>
  <si>
    <t>ул. Чапаева</t>
  </si>
  <si>
    <t>.899</t>
  </si>
  <si>
    <t>Котельная "Школа 18"</t>
  </si>
  <si>
    <t>.117</t>
  </si>
  <si>
    <t>Котельная "Школа 19"</t>
  </si>
  <si>
    <t>ул. Ленина</t>
  </si>
  <si>
    <t>.44</t>
  </si>
  <si>
    <t>.349</t>
  </si>
  <si>
    <t>.35</t>
  </si>
  <si>
    <t>Котельная "Школа 20"</t>
  </si>
  <si>
    <t>.207</t>
  </si>
  <si>
    <t>.159</t>
  </si>
  <si>
    <t>Котельная "Школа 21"</t>
  </si>
  <si>
    <t>ул. Советская</t>
  </si>
  <si>
    <t>164</t>
  </si>
  <si>
    <t>.25</t>
  </si>
  <si>
    <t>.221</t>
  </si>
  <si>
    <t>.22</t>
  </si>
  <si>
    <t>Котельная "Школа 22"</t>
  </si>
  <si>
    <t>пер. Крутой</t>
  </si>
  <si>
    <t>.242</t>
  </si>
  <si>
    <t>Котельная "Школа 25"</t>
  </si>
  <si>
    <t>ул. Энгельса</t>
  </si>
  <si>
    <t>104</t>
  </si>
  <si>
    <t>.197</t>
  </si>
  <si>
    <t>Котельная "Школа 26"</t>
  </si>
  <si>
    <t>61</t>
  </si>
  <si>
    <t>.093</t>
  </si>
  <si>
    <t>Котельная "Школа №2"</t>
  </si>
  <si>
    <t>ул. Дзержинского</t>
  </si>
  <si>
    <t>.21</t>
  </si>
  <si>
    <t>.121</t>
  </si>
  <si>
    <t>Котельная "м-н Бештау"</t>
  </si>
  <si>
    <t>ул. Адмиральского</t>
  </si>
  <si>
    <t>61.5</t>
  </si>
  <si>
    <t>41.395</t>
  </si>
  <si>
    <t>9.5</t>
  </si>
  <si>
    <t>3.935</t>
  </si>
  <si>
    <t>Котельная ул. Матвеева</t>
  </si>
  <si>
    <t>5.59</t>
  </si>
  <si>
    <t>3.034</t>
  </si>
  <si>
    <t>5.6</t>
  </si>
  <si>
    <t>Школа №31</t>
  </si>
  <si>
    <t>187</t>
  </si>
  <si>
    <t>2.38</t>
  </si>
  <si>
    <t>2.281</t>
  </si>
  <si>
    <t>2.379</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</si>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</sst>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49">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30" fillId="0" borderId="0" xfId="0" applyNumberFormat="1" applyFont="1" applyAlignment="1">
      <alignment horizontal="center" vertical="center" wrapText="1"/>
    </xf>
    <xf numFmtId="16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7" fillId="0" borderId="10" xfId="0" applyNumberFormat="1" applyFont="1" applyBorder="1" applyAlignment="1">
      <alignment horizontal="center" vertical="center" wrapText="1"/>
    </xf>
    <xf numFmtId="168"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7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0" fontId="5" fillId="0" borderId="3" xfId="0" applyNumberFormat="1" applyFont="1" applyBorder="1" applyAlignment="1">
      <alignment horizontal="center" vertical="center" wrapText="1"/>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35" fillId="12" borderId="4"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vertical="center" wrapText="1"/>
      <protection locked="0"/>
    </xf>
    <xf numFmtId="49" fontId="35" fillId="12" borderId="5"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19"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0" fontId="5" fillId="0" borderId="3" xfId="0" applyNumberFormat="1" applyFont="1" applyBorder="1" applyAlignment="1">
      <alignment horizontal="center" vertical="center" wrapText="1"/>
    </xf>
    <xf numFmtId="167" fontId="5" fillId="9" borderId="3" xfId="0" applyNumberFormat="1" applyFont="1" applyFill="1" applyBorder="1" applyAlignment="1" applyProtection="1">
      <alignment horizontal="right" vertical="center" wrapText="1"/>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vertical="center" wrapText="1"/>
    </xf>
    <xf numFmtId="49" fontId="9" fillId="9" borderId="3" xfId="0" applyNumberFormat="1" applyFont="1" applyFill="1" applyBorder="1" applyAlignment="1" applyProtection="1">
      <alignment horizontal="left" vertical="center" wrapText="1"/>
      <protection locked="0"/>
    </xf>
    <xf numFmtId="49" fontId="9" fillId="9" borderId="5" xfId="0" applyNumberFormat="1" applyFont="1" applyFill="1" applyBorder="1" applyAlignment="1" applyProtection="1">
      <alignment horizontal="left" vertical="center" wrapText="1"/>
      <protection locked="0"/>
    </xf>
    <xf numFmtId="49" fontId="5" fillId="8" borderId="8"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0" fillId="0" borderId="0" xfId="0" applyNumberFormat="1" applyFont="1">
      <alignment vertical="top"/>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9"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5" fillId="8" borderId="8"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49" fontId="5" fillId="0" borderId="0" xfId="0" applyNumberFormat="1" applyFont="1" applyAlignment="1">
      <alignment horizontal="center" vertical="center" wrapText="1"/>
    </xf>
    <xf numFmtId="49" fontId="5" fillId="0" borderId="50"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 fontId="5" fillId="9" borderId="8" xfId="0" applyNumberFormat="1" applyFont="1" applyFill="1" applyBorder="1" applyAlignment="1" applyProtection="1">
      <alignment horizontal="right" vertical="center" wrapText="1"/>
      <protection locked="0"/>
    </xf>
    <xf numFmtId="0" fontId="5" fillId="0" borderId="3" xfId="0" applyNumberFormat="1" applyFont="1" applyBorder="1" applyAlignment="1">
      <alignment vertical="center"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vertical="center" wrapText="1"/>
    </xf>
    <xf numFmtId="49" fontId="5" fillId="0" borderId="49" xfId="0" applyNumberFormat="1" applyFont="1" applyBorder="1" applyAlignment="1">
      <alignment horizontal="center" vertical="center" wrapText="1"/>
    </xf>
    <xf numFmtId="49" fontId="0" fillId="0" borderId="3" xfId="0" applyNumberFormat="1" applyFont="1" applyBorder="1" applyAlignment="1">
      <alignment horizontal="left" vertical="center" wrapText="1" indent="1"/>
    </xf>
    <xf numFmtId="4" fontId="5" fillId="12" borderId="3" xfId="0" applyNumberFormat="1" applyFont="1" applyFill="1" applyBorder="1" applyAlignment="1" applyProtection="1">
      <alignment horizontal="right" vertical="center" wrapText="1"/>
      <protection locked="0"/>
    </xf>
    <xf numFmtId="167" fontId="5" fillId="8" borderId="3" xfId="0" applyNumberFormat="1" applyFont="1" applyFill="1" applyBorder="1" applyAlignment="1" applyProtection="1">
      <alignment horizontal="right" vertical="center" wrapText="1"/>
      <protection locked="0"/>
    </xf>
    <xf numFmtId="167" fontId="5" fillId="9"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5" fillId="9"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21" fillId="8" borderId="0" xfId="0" applyNumberFormat="1" applyFont="1" applyFill="1" applyAlignment="1">
      <alignment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vertical="center"/>
    </xf>
    <xf numFmtId="0" fontId="0" fillId="0" borderId="3" xfId="0" applyNumberFormat="1" applyFont="1" applyBorder="1" applyAlignment="1">
      <alignment horizontal="left" vertical="center" wrapText="1" indent="1"/>
    </xf>
    <xf numFmtId="0" fontId="5" fillId="0" borderId="8" xfId="0" applyNumberFormat="1" applyFont="1" applyBorder="1" applyAlignment="1">
      <alignment vertical="center" wrapText="1"/>
    </xf>
    <xf numFmtId="0" fontId="0" fillId="12" borderId="3" xfId="0" applyNumberFormat="1" applyFont="1" applyFill="1" applyBorder="1" applyAlignment="1" applyProtection="1">
      <alignment horizontal="left" vertical="center" wrapText="1" indent="2"/>
      <protection locked="0"/>
    </xf>
    <xf numFmtId="49" fontId="35" fillId="12"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49" fontId="26" fillId="10" borderId="6" xfId="0" applyNumberFormat="1" applyFont="1" applyFill="1" applyBorder="1" applyAlignment="1">
      <alignment horizontal="center" vertical="top"/>
    </xf>
    <xf numFmtId="0" fontId="0" fillId="21" borderId="0" xfId="0" applyNumberFormat="1" applyFont="1" applyFill="1" applyAlignment="1">
      <alignment horizontal="right" vertical="center"/>
    </xf>
    <xf numFmtId="169" fontId="0" fillId="12" borderId="2"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4" fillId="0" borderId="0" xfId="0" applyNumberFormat="1" applyFont="1" applyAlignment="1">
      <alignment vertical="center" wrapText="1"/>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38"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horizontal="left" vertical="center" wrapText="1"/>
    </xf>
    <xf numFmtId="0" fontId="45" fillId="0" borderId="0" xfId="0" applyNumberFormat="1" applyFont="1" applyAlignment="1">
      <alignment vertical="center" wrapText="1"/>
    </xf>
    <xf numFmtId="49" fontId="73" fillId="0" borderId="0" xfId="0" applyNumberFormat="1" applyFont="1" applyAlignment="1">
      <alignment horizontal="center"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29" fillId="0" borderId="0" xfId="0" applyNumberFormat="1" applyFont="1" applyAlignment="1">
      <alignment horizontal="center" vertical="center" wrapText="1"/>
    </xf>
    <xf numFmtId="49" fontId="5" fillId="0" borderId="0" xfId="0" applyNumberFormat="1" applyFont="1" applyAlignment="1">
      <alignment horizontal="center" vertical="top" wrapText="1"/>
    </xf>
    <xf numFmtId="49" fontId="14"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0"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21"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9"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14" fillId="0" borderId="0" xfId="0" applyNumberFormat="1" applyFont="1">
      <alignment vertical="top"/>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9"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9"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7" xfId="0" applyNumberFormat="1" applyFont="1" applyBorder="1">
      <alignment vertical="top"/>
    </xf>
    <xf numFmtId="3" fontId="5" fillId="9" borderId="3" xfId="0" applyNumberFormat="1" applyFont="1" applyFill="1" applyBorder="1" applyAlignment="1" applyProtection="1">
      <alignment horizontal="center" vertical="center" wrapText="1"/>
      <protection locked="0"/>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epplain3@rambler.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7acbbdd5-5a89-48af-bc60-ed0d26cfaf7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396" customWidth="1"/>
    <col min="2" max="2" width="9.140625" style="2396" customWidth="1"/>
    <col min="3" max="3" width="16.42578125" style="2396" customWidth="1"/>
    <col min="4" max="25" width="6.28515625" style="2396" customWidth="1"/>
    <col min="26" max="28" width="11" style="2396"/>
  </cols>
  <sheetData>
    <row r="1" spans="1:28" ht="15.75" customHeight="1">
      <c r="A1" s="1616"/>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8"/>
      <c r="Z1" s="1617"/>
      <c r="AA1" s="1619" t="s">
        <v>0</v>
      </c>
      <c r="AB1" s="1617"/>
    </row>
    <row r="2" spans="1:28" ht="17.25" customHeight="1">
      <c r="A2" s="1617"/>
      <c r="B2" s="2408" t="s">
        <v>1</v>
      </c>
      <c r="C2" s="2408"/>
      <c r="D2" s="2408"/>
      <c r="E2" s="2408"/>
      <c r="F2" s="2408"/>
      <c r="G2" s="2408"/>
      <c r="H2" s="2408"/>
      <c r="I2" s="2408"/>
      <c r="J2" s="2408"/>
      <c r="K2" s="2408"/>
      <c r="L2" s="2408"/>
      <c r="M2" s="2408"/>
      <c r="N2" s="2408"/>
      <c r="O2" s="2408"/>
      <c r="P2" s="2408"/>
      <c r="Q2" s="1620"/>
      <c r="R2" s="1620"/>
      <c r="S2" s="1620"/>
      <c r="T2" s="1620"/>
      <c r="U2" s="1620"/>
      <c r="V2" s="1621"/>
      <c r="W2" s="1620"/>
      <c r="X2" s="1620"/>
      <c r="Y2" s="1618"/>
      <c r="Z2" s="1617"/>
      <c r="AA2" s="1619"/>
      <c r="AB2" s="1617"/>
    </row>
    <row r="3" spans="1:28" ht="15.75" customHeight="1">
      <c r="A3" s="1617"/>
      <c r="B3" s="2409" t="s">
        <v>2</v>
      </c>
      <c r="C3" s="2409"/>
      <c r="D3" s="2409"/>
      <c r="E3" s="2409"/>
      <c r="F3" s="2409"/>
      <c r="G3" s="2409"/>
      <c r="H3" s="2409"/>
      <c r="I3" s="2409"/>
      <c r="J3" s="2409"/>
      <c r="K3" s="2409"/>
      <c r="L3" s="2409"/>
      <c r="M3" s="2409"/>
      <c r="N3" s="2409"/>
      <c r="O3" s="2409"/>
      <c r="P3" s="2409"/>
      <c r="Q3" s="1621"/>
      <c r="R3" s="1621"/>
      <c r="S3" s="1620"/>
      <c r="T3" s="1620"/>
      <c r="U3" s="1620"/>
      <c r="V3" s="1621"/>
      <c r="W3" s="1621"/>
      <c r="X3" s="1621"/>
      <c r="Y3" s="1621"/>
      <c r="Z3" s="1617"/>
      <c r="AA3" s="1619"/>
      <c r="AB3" s="1617"/>
    </row>
    <row r="4" spans="1:28" ht="17.25" customHeight="1">
      <c r="A4" s="1617"/>
      <c r="B4" s="1622"/>
      <c r="C4" s="1617"/>
      <c r="D4" s="1621"/>
      <c r="E4" s="1621"/>
      <c r="F4" s="1621"/>
      <c r="G4" s="1621"/>
      <c r="H4" s="1621"/>
      <c r="I4" s="1621"/>
      <c r="J4" s="1621"/>
      <c r="K4" s="1621"/>
      <c r="L4" s="1621"/>
      <c r="M4" s="1621"/>
      <c r="N4" s="1621"/>
      <c r="O4" s="1621"/>
      <c r="P4" s="1621"/>
      <c r="Q4" s="1621"/>
      <c r="R4" s="1621"/>
      <c r="S4" s="1621"/>
      <c r="T4" s="1621"/>
      <c r="U4" s="1621"/>
      <c r="V4" s="1621"/>
      <c r="W4" s="1621"/>
      <c r="X4" s="1621"/>
      <c r="Y4" s="1621"/>
      <c r="Z4" s="1617"/>
      <c r="AA4" s="1619"/>
      <c r="AB4" s="1617"/>
    </row>
    <row r="5" spans="1:28" ht="22.5" customHeight="1">
      <c r="A5" s="1623"/>
      <c r="B5" s="2410"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411"/>
      <c r="D5" s="2411"/>
      <c r="E5" s="2411"/>
      <c r="F5" s="2411"/>
      <c r="G5" s="2411"/>
      <c r="H5" s="2411"/>
      <c r="I5" s="2411"/>
      <c r="J5" s="2411"/>
      <c r="K5" s="2411"/>
      <c r="L5" s="2411"/>
      <c r="M5" s="2411"/>
      <c r="N5" s="2411"/>
      <c r="O5" s="2411"/>
      <c r="P5" s="2411"/>
      <c r="Q5" s="2411"/>
      <c r="R5" s="2411"/>
      <c r="S5" s="2411"/>
      <c r="T5" s="2411"/>
      <c r="U5" s="2411"/>
      <c r="V5" s="2411"/>
      <c r="W5" s="2411"/>
      <c r="X5" s="2411"/>
      <c r="Y5" s="2412"/>
      <c r="Z5" s="1623"/>
      <c r="AA5" s="1619"/>
      <c r="AB5" s="1623"/>
    </row>
    <row r="6" spans="1:28" ht="15" customHeight="1">
      <c r="A6" s="1624"/>
      <c r="B6" s="2400" t="s">
        <v>3</v>
      </c>
      <c r="C6" s="2403"/>
      <c r="D6" s="1625"/>
      <c r="E6" s="1625"/>
      <c r="F6" s="1625"/>
      <c r="G6" s="1625"/>
      <c r="H6" s="1625"/>
      <c r="I6" s="1625"/>
      <c r="J6" s="1625"/>
      <c r="K6" s="1625"/>
      <c r="L6" s="1625"/>
      <c r="M6" s="1625"/>
      <c r="N6" s="1625"/>
      <c r="O6" s="1625"/>
      <c r="P6" s="1625"/>
      <c r="Q6" s="1625"/>
      <c r="R6" s="1625"/>
      <c r="S6" s="1625"/>
      <c r="T6" s="1625"/>
      <c r="U6" s="1625"/>
      <c r="V6" s="1625"/>
      <c r="W6" s="1625"/>
      <c r="X6" s="1625"/>
      <c r="Y6" s="1626"/>
      <c r="Z6" s="1627"/>
      <c r="AA6" s="1628"/>
      <c r="AB6" s="1628"/>
    </row>
    <row r="7" spans="1:28" ht="15" customHeight="1">
      <c r="A7" s="1624"/>
      <c r="B7" s="2400"/>
      <c r="C7" s="2403"/>
      <c r="D7" s="1625"/>
      <c r="E7" s="1625"/>
      <c r="F7" s="1629"/>
      <c r="G7" s="1629"/>
      <c r="H7" s="1629"/>
      <c r="I7" s="1629"/>
      <c r="J7" s="1629"/>
      <c r="K7" s="1629"/>
      <c r="L7" s="1629"/>
      <c r="M7" s="1629"/>
      <c r="N7" s="1629"/>
      <c r="O7" s="1625"/>
      <c r="P7" s="1629"/>
      <c r="Q7" s="1629"/>
      <c r="R7" s="1629"/>
      <c r="S7" s="1629"/>
      <c r="T7" s="1629"/>
      <c r="U7" s="1629"/>
      <c r="V7" s="1629"/>
      <c r="W7" s="1629"/>
      <c r="X7" s="1629"/>
      <c r="Y7" s="1626"/>
      <c r="Z7" s="1627"/>
      <c r="AA7" s="1628"/>
      <c r="AB7" s="1628"/>
    </row>
    <row r="8" spans="1:28" ht="15" customHeight="1">
      <c r="A8" s="1624"/>
      <c r="B8" s="2400"/>
      <c r="C8" s="2403"/>
      <c r="D8" s="1630"/>
      <c r="E8" s="1631" t="s">
        <v>4</v>
      </c>
      <c r="F8" s="2413" t="s">
        <v>5</v>
      </c>
      <c r="G8" s="2402"/>
      <c r="H8" s="2402"/>
      <c r="I8" s="2402"/>
      <c r="J8" s="2402"/>
      <c r="K8" s="2402"/>
      <c r="L8" s="2402"/>
      <c r="M8" s="2402"/>
      <c r="N8" s="1630"/>
      <c r="O8" s="1632" t="s">
        <v>4</v>
      </c>
      <c r="P8" s="2414" t="s">
        <v>6</v>
      </c>
      <c r="Q8" s="2415"/>
      <c r="R8" s="2415"/>
      <c r="S8" s="2415"/>
      <c r="T8" s="2415"/>
      <c r="U8" s="2415"/>
      <c r="V8" s="2415"/>
      <c r="W8" s="2415"/>
      <c r="X8" s="2415"/>
      <c r="Y8" s="1626"/>
      <c r="Z8" s="1627"/>
      <c r="AA8" s="1628"/>
      <c r="AB8" s="1628"/>
    </row>
    <row r="9" spans="1:28" ht="15" customHeight="1">
      <c r="A9" s="1624"/>
      <c r="B9" s="2400"/>
      <c r="C9" s="2403"/>
      <c r="D9" s="1630"/>
      <c r="E9" s="1633" t="s">
        <v>4</v>
      </c>
      <c r="F9" s="2413" t="s">
        <v>7</v>
      </c>
      <c r="G9" s="2402"/>
      <c r="H9" s="2402"/>
      <c r="I9" s="2402"/>
      <c r="J9" s="2402"/>
      <c r="K9" s="2402"/>
      <c r="L9" s="2402"/>
      <c r="M9" s="2402"/>
      <c r="N9" s="1630"/>
      <c r="O9" s="1634" t="s">
        <v>4</v>
      </c>
      <c r="P9" s="2414" t="s">
        <v>8</v>
      </c>
      <c r="Q9" s="2415"/>
      <c r="R9" s="2415"/>
      <c r="S9" s="2415"/>
      <c r="T9" s="2415"/>
      <c r="U9" s="2415"/>
      <c r="V9" s="2415"/>
      <c r="W9" s="2415"/>
      <c r="X9" s="2415"/>
      <c r="Y9" s="1626"/>
      <c r="Z9" s="1627"/>
      <c r="AA9" s="1628"/>
      <c r="AB9" s="1628"/>
    </row>
    <row r="10" spans="1:28" ht="30" customHeight="1">
      <c r="A10" s="1624"/>
      <c r="B10" s="2400"/>
      <c r="C10" s="2401"/>
      <c r="D10" s="1635"/>
      <c r="E10" s="1636"/>
      <c r="F10" s="1629"/>
      <c r="G10" s="1629"/>
      <c r="H10" s="1629"/>
      <c r="I10" s="1629"/>
      <c r="J10" s="1629"/>
      <c r="K10" s="1629"/>
      <c r="L10" s="1629"/>
      <c r="M10" s="1629"/>
      <c r="N10" s="1629"/>
      <c r="O10" s="1636"/>
      <c r="P10" s="1629"/>
      <c r="Q10" s="1629"/>
      <c r="R10" s="1629"/>
      <c r="S10" s="1629"/>
      <c r="T10" s="1629"/>
      <c r="U10" s="1629"/>
      <c r="V10" s="1629"/>
      <c r="W10" s="1629"/>
      <c r="X10" s="1629"/>
      <c r="Y10" s="1626"/>
      <c r="Z10" s="1627"/>
      <c r="AA10" s="1628"/>
      <c r="AB10" s="1628"/>
    </row>
    <row r="11" spans="1:28" ht="19.5" customHeight="1">
      <c r="A11" s="1624"/>
      <c r="B11" s="1" t="s">
        <v>9</v>
      </c>
      <c r="C11" s="2399"/>
      <c r="D11" s="1630"/>
      <c r="E11" s="1637"/>
      <c r="F11" s="1637"/>
      <c r="G11" s="1637"/>
      <c r="H11" s="1637"/>
      <c r="I11" s="1637"/>
      <c r="J11" s="1637"/>
      <c r="K11" s="1637"/>
      <c r="L11" s="1637"/>
      <c r="M11" s="1637"/>
      <c r="N11" s="1637"/>
      <c r="O11" s="1637"/>
      <c r="P11" s="1637"/>
      <c r="Q11" s="1637"/>
      <c r="R11" s="1637"/>
      <c r="S11" s="1637"/>
      <c r="T11" s="1637"/>
      <c r="U11" s="1637"/>
      <c r="V11" s="1637"/>
      <c r="W11" s="1637"/>
      <c r="X11" s="1637"/>
      <c r="Y11" s="1626"/>
      <c r="Z11" s="1627"/>
      <c r="AA11" s="1628"/>
      <c r="AB11" s="1628"/>
    </row>
    <row r="12" spans="1:28" ht="69" customHeight="1">
      <c r="A12" s="1624"/>
      <c r="B12" s="2400"/>
      <c r="C12" s="2401"/>
      <c r="D12" s="1638"/>
      <c r="E12" s="2402" t="s">
        <v>10</v>
      </c>
      <c r="F12" s="2402"/>
      <c r="G12" s="2402"/>
      <c r="H12" s="2402"/>
      <c r="I12" s="2402"/>
      <c r="J12" s="2402"/>
      <c r="K12" s="2402"/>
      <c r="L12" s="2402"/>
      <c r="M12" s="2402"/>
      <c r="N12" s="2402"/>
      <c r="O12" s="2402"/>
      <c r="P12" s="2402"/>
      <c r="Q12" s="2402"/>
      <c r="R12" s="2402"/>
      <c r="S12" s="2402"/>
      <c r="T12" s="2402"/>
      <c r="U12" s="2402"/>
      <c r="V12" s="2402"/>
      <c r="W12" s="2402"/>
      <c r="X12" s="2402"/>
      <c r="Y12" s="1626"/>
      <c r="Z12" s="1627"/>
      <c r="AA12" s="1628"/>
      <c r="AB12" s="1628"/>
    </row>
    <row r="13" spans="1:28" ht="15" customHeight="1">
      <c r="A13" s="1624"/>
      <c r="B13" s="1" t="s">
        <v>11</v>
      </c>
      <c r="C13" s="2399"/>
      <c r="D13" s="1625"/>
      <c r="E13" s="1637"/>
      <c r="F13" s="1637"/>
      <c r="G13" s="1637"/>
      <c r="H13" s="1637"/>
      <c r="I13" s="1637"/>
      <c r="J13" s="1637"/>
      <c r="K13" s="1637"/>
      <c r="L13" s="1637"/>
      <c r="M13" s="1637"/>
      <c r="N13" s="1637"/>
      <c r="O13" s="1637"/>
      <c r="P13" s="1637"/>
      <c r="Q13" s="1637"/>
      <c r="R13" s="1637"/>
      <c r="S13" s="1637"/>
      <c r="T13" s="1637"/>
      <c r="U13" s="1637"/>
      <c r="V13" s="1637"/>
      <c r="W13" s="1637"/>
      <c r="X13" s="1637"/>
      <c r="Y13" s="1626"/>
      <c r="Z13" s="1627"/>
      <c r="AA13" s="1628"/>
      <c r="AB13" s="1628"/>
    </row>
    <row r="14" spans="1:28" ht="57" customHeight="1">
      <c r="A14" s="1624"/>
      <c r="B14" s="2400"/>
      <c r="C14" s="2403"/>
      <c r="D14" s="1630"/>
      <c r="E14" s="2406" t="s">
        <v>12</v>
      </c>
      <c r="F14" s="2406"/>
      <c r="G14" s="2406"/>
      <c r="H14" s="2406"/>
      <c r="I14" s="2406"/>
      <c r="J14" s="2406"/>
      <c r="K14" s="2406"/>
      <c r="L14" s="2406"/>
      <c r="M14" s="2406"/>
      <c r="N14" s="2406"/>
      <c r="O14" s="2406"/>
      <c r="P14" s="2406"/>
      <c r="Q14" s="2406"/>
      <c r="R14" s="2406"/>
      <c r="S14" s="2406"/>
      <c r="T14" s="2406"/>
      <c r="U14" s="2406"/>
      <c r="V14" s="2406"/>
      <c r="W14" s="2406"/>
      <c r="X14" s="2406"/>
      <c r="Y14" s="1626"/>
      <c r="Z14" s="1627"/>
      <c r="AA14" s="1628"/>
      <c r="AB14" s="1628"/>
    </row>
    <row r="15" spans="1:28" ht="16.5" customHeight="1">
      <c r="A15" s="1624"/>
      <c r="B15" s="2404"/>
      <c r="C15" s="2405"/>
      <c r="D15" s="1639"/>
      <c r="E15" s="1640"/>
      <c r="F15" s="1640"/>
      <c r="G15" s="1640"/>
      <c r="H15" s="1640"/>
      <c r="I15" s="1640"/>
      <c r="J15" s="1640"/>
      <c r="K15" s="1640"/>
      <c r="L15" s="1640"/>
      <c r="M15" s="1640"/>
      <c r="N15" s="1640"/>
      <c r="O15" s="1640"/>
      <c r="P15" s="1640"/>
      <c r="Q15" s="1640"/>
      <c r="R15" s="1640"/>
      <c r="S15" s="1640"/>
      <c r="T15" s="1640"/>
      <c r="U15" s="1640"/>
      <c r="V15" s="1640"/>
      <c r="W15" s="1640"/>
      <c r="X15" s="1640"/>
      <c r="Y15" s="1641"/>
      <c r="Z15" s="1627"/>
      <c r="AA15" s="1642"/>
      <c r="AB15" s="1628"/>
    </row>
    <row r="16" spans="1:28" ht="95.25" customHeight="1">
      <c r="A16" s="1617"/>
      <c r="B16" s="2406"/>
      <c r="C16" s="2407"/>
      <c r="D16" s="2407"/>
      <c r="E16" s="2407"/>
      <c r="F16" s="2407"/>
      <c r="G16" s="2407"/>
      <c r="H16" s="2407"/>
      <c r="I16" s="2407"/>
      <c r="J16" s="2407"/>
      <c r="K16" s="2407"/>
      <c r="L16" s="2407"/>
      <c r="M16" s="2407"/>
      <c r="N16" s="2407"/>
      <c r="O16" s="2407"/>
      <c r="P16" s="2407"/>
      <c r="Q16" s="2407"/>
      <c r="R16" s="2407"/>
      <c r="S16" s="2407"/>
      <c r="T16" s="2407"/>
      <c r="U16" s="2407"/>
      <c r="V16" s="2407"/>
      <c r="W16" s="2407"/>
      <c r="X16" s="2407"/>
      <c r="Y16" s="2407"/>
      <c r="Z16" s="1617"/>
      <c r="AA16" s="1619"/>
      <c r="AB16" s="1617"/>
    </row>
    <row r="17" spans="1:28" ht="14.25" customHeight="1">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c r="W17" s="1617"/>
      <c r="X17" s="1617"/>
      <c r="Y17" s="1618"/>
      <c r="Z17" s="1617"/>
      <c r="AA17" s="1619"/>
      <c r="AB17" s="1617"/>
    </row>
    <row r="18" spans="1:28" ht="14.25" customHeight="1">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c r="W18" s="1617"/>
      <c r="X18" s="1617"/>
      <c r="Y18" s="1618"/>
      <c r="Z18" s="1617"/>
      <c r="AA18" s="1619"/>
      <c r="AB18" s="1617"/>
    </row>
    <row r="19" spans="1:28" ht="14.25" customHeight="1">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8"/>
      <c r="Z19" s="1617"/>
      <c r="AA19" s="1619"/>
      <c r="AB19" s="1617"/>
    </row>
    <row r="20" spans="1:28" ht="14.25" customHeight="1">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8"/>
      <c r="Z20" s="1617"/>
      <c r="AA20" s="1619"/>
      <c r="AB20" s="1617"/>
    </row>
    <row r="21" spans="1:28" ht="14.25" customHeight="1">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8"/>
      <c r="Z21" s="1617"/>
      <c r="AA21" s="1619"/>
      <c r="AB21" s="161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370" hidden="1" customWidth="1"/>
    <col min="2" max="3" width="9.140625" style="2360" hidden="1" customWidth="1"/>
    <col min="4" max="4" width="3" style="2378" customWidth="1"/>
    <col min="5" max="5" width="6" style="2360" customWidth="1"/>
    <col min="6" max="6" width="1.7109375" style="2360" hidden="1" customWidth="1"/>
    <col min="7" max="8" width="30" style="2360" customWidth="1"/>
    <col min="9" max="9" width="8" style="2360" customWidth="1"/>
    <col min="10" max="10" width="12.140625" style="2360" customWidth="1"/>
    <col min="11" max="11" width="46" style="2360" customWidth="1"/>
    <col min="12" max="12" width="100" style="2360" customWidth="1"/>
    <col min="13" max="13" width="7" style="2331" customWidth="1"/>
    <col min="14" max="22" width="10" style="2360" customWidth="1"/>
    <col min="23" max="23" width="10.5703125" style="2360" hidden="1"/>
  </cols>
  <sheetData>
    <row r="1" spans="1:23" s="2344" customFormat="1" ht="5.25" hidden="1" customHeight="1">
      <c r="C1" s="447"/>
      <c r="D1" s="430"/>
      <c r="F1" s="447"/>
      <c r="G1" s="425" t="s">
        <v>83</v>
      </c>
      <c r="H1" s="425" t="s">
        <v>84</v>
      </c>
      <c r="I1" s="425" t="s">
        <v>85</v>
      </c>
      <c r="P1" s="425" t="s">
        <v>83</v>
      </c>
      <c r="Q1" s="425" t="s">
        <v>84</v>
      </c>
      <c r="R1" s="425" t="s">
        <v>85</v>
      </c>
      <c r="W1" s="425" t="s">
        <v>14</v>
      </c>
    </row>
    <row r="2" spans="1:23" s="2344" customFormat="1" ht="5.25" hidden="1" customHeight="1">
      <c r="C2" s="447"/>
      <c r="D2" s="430"/>
      <c r="F2" s="447"/>
      <c r="W2" s="425">
        <v>0</v>
      </c>
    </row>
    <row r="3" spans="1:23" s="2333" customFormat="1" ht="5.25" customHeight="1">
      <c r="A3" s="415"/>
      <c r="D3" s="422"/>
      <c r="E3" s="417"/>
      <c r="F3" s="417"/>
      <c r="G3" s="417"/>
      <c r="H3" s="417"/>
      <c r="I3" s="418"/>
      <c r="J3" s="419"/>
      <c r="K3" s="419"/>
      <c r="L3" s="419"/>
      <c r="W3" s="416">
        <v>5</v>
      </c>
    </row>
    <row r="4" spans="1:23" ht="23.25" customHeight="1">
      <c r="D4" s="386"/>
      <c r="E4" s="2428" t="s">
        <v>387</v>
      </c>
      <c r="F4" s="2428"/>
      <c r="G4" s="2429"/>
      <c r="H4" s="2429"/>
      <c r="I4" s="2430"/>
      <c r="J4" s="427"/>
      <c r="K4" s="389"/>
      <c r="L4" s="389"/>
      <c r="W4" s="383">
        <v>22</v>
      </c>
    </row>
    <row r="5" spans="1:23" s="2360" customFormat="1" ht="18" customHeight="1">
      <c r="A5" s="693"/>
      <c r="D5" s="752"/>
      <c r="E5" s="2538" t="str">
        <f>IF(org=0,"Не определено",org)</f>
        <v>ООО "Пятигорсктеплосервис"</v>
      </c>
      <c r="F5" s="2538"/>
      <c r="G5" s="2539"/>
      <c r="H5" s="2539"/>
      <c r="I5" s="2540"/>
      <c r="J5" s="427"/>
      <c r="K5" s="389"/>
      <c r="L5" s="389"/>
      <c r="M5" s="443"/>
      <c r="W5" s="692">
        <v>17</v>
      </c>
    </row>
    <row r="6" spans="1:23" s="2333" customFormat="1" ht="11.45" customHeight="1">
      <c r="A6" s="415"/>
      <c r="D6" s="422"/>
      <c r="E6" s="417"/>
      <c r="F6" s="417"/>
      <c r="G6" s="420"/>
      <c r="H6" s="420"/>
      <c r="I6" s="421"/>
      <c r="J6" s="421"/>
      <c r="K6" s="688"/>
      <c r="L6" s="421"/>
      <c r="W6" s="416">
        <v>11</v>
      </c>
    </row>
    <row r="7" spans="1:23" ht="14.65" customHeight="1">
      <c r="D7" s="386"/>
      <c r="E7" s="2523" t="s">
        <v>299</v>
      </c>
      <c r="F7" s="2523"/>
      <c r="G7" s="2524"/>
      <c r="H7" s="2524"/>
      <c r="I7" s="2524"/>
      <c r="J7" s="2524"/>
      <c r="K7" s="2524"/>
      <c r="L7" s="2492" t="s">
        <v>300</v>
      </c>
      <c r="W7" s="383">
        <v>14</v>
      </c>
    </row>
    <row r="8" spans="1:23" ht="48.2" customHeight="1">
      <c r="D8" s="386"/>
      <c r="E8" s="409" t="s">
        <v>88</v>
      </c>
      <c r="F8" s="753"/>
      <c r="G8" s="401" t="s">
        <v>86</v>
      </c>
      <c r="H8" s="401" t="s">
        <v>87</v>
      </c>
      <c r="I8" s="350" t="s">
        <v>85</v>
      </c>
      <c r="J8" s="350" t="s">
        <v>388</v>
      </c>
      <c r="K8" s="350" t="s">
        <v>389</v>
      </c>
      <c r="L8" s="249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36" t="s">
        <v>390</v>
      </c>
      <c r="M10" s="443"/>
      <c r="N10" s="441"/>
      <c r="O10" s="441"/>
      <c r="P10" s="441"/>
      <c r="Q10" s="441"/>
      <c r="R10" s="441"/>
      <c r="S10" s="441"/>
      <c r="T10" s="441"/>
      <c r="U10" s="441"/>
      <c r="V10" s="441"/>
      <c r="W10" s="383">
        <v>0</v>
      </c>
    </row>
    <row r="11" spans="1:23" ht="15" hidden="1" customHeight="1">
      <c r="A11" s="2420"/>
      <c r="B11" s="440"/>
      <c r="C11" s="440"/>
      <c r="D11" s="791"/>
      <c r="E11" s="449"/>
      <c r="F11" s="449"/>
      <c r="G11" s="449"/>
      <c r="H11" s="449"/>
      <c r="I11" s="450"/>
      <c r="J11" s="451"/>
      <c r="K11" s="649"/>
      <c r="L11" s="2550"/>
      <c r="M11" s="447"/>
      <c r="N11" s="447"/>
      <c r="O11" s="447"/>
      <c r="P11" s="452"/>
      <c r="Q11" s="452"/>
      <c r="R11" s="453"/>
      <c r="S11" s="447"/>
      <c r="T11" s="447"/>
      <c r="U11" s="447"/>
      <c r="V11" s="447"/>
      <c r="W11" s="383">
        <v>0</v>
      </c>
    </row>
    <row r="12" spans="1:23" s="2333" customFormat="1" ht="15" customHeight="1">
      <c r="A12" s="2420"/>
      <c r="B12" s="440"/>
      <c r="C12" s="440"/>
      <c r="D12" s="792"/>
      <c r="E12" s="753">
        <v>1</v>
      </c>
      <c r="F12" s="790">
        <v>23</v>
      </c>
      <c r="G12" s="789"/>
      <c r="H12" s="723"/>
      <c r="I12" s="721"/>
      <c r="J12" s="456" t="s">
        <v>62</v>
      </c>
      <c r="K12" s="1080" t="s">
        <v>22</v>
      </c>
      <c r="L12" s="2550"/>
      <c r="M12" s="447"/>
      <c r="N12" s="447"/>
      <c r="O12" s="447"/>
      <c r="P12" s="452" t="s">
        <v>391</v>
      </c>
      <c r="Q12" s="452" t="s">
        <v>392</v>
      </c>
      <c r="R12" s="453" t="s">
        <v>393</v>
      </c>
      <c r="S12" s="447" t="s">
        <v>394</v>
      </c>
      <c r="T12" s="447"/>
      <c r="U12" s="447"/>
      <c r="V12" s="447"/>
      <c r="W12" s="416">
        <v>14</v>
      </c>
    </row>
    <row r="13" spans="1:23" ht="15.75" customHeight="1">
      <c r="A13" s="2420"/>
      <c r="B13" s="441"/>
      <c r="D13" s="442"/>
      <c r="E13" s="341"/>
      <c r="F13" s="465"/>
      <c r="G13" s="352" t="s">
        <v>102</v>
      </c>
      <c r="H13" s="340"/>
      <c r="I13" s="340"/>
      <c r="J13" s="340"/>
      <c r="K13" s="339"/>
      <c r="L13" s="253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2" width="24.7109375" style="2360" hidden="1" customWidth="1"/>
    <col min="23" max="23" width="0.140625" style="2360" hidden="1" customWidth="1"/>
    <col min="24" max="25" width="24.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24.7109375" style="2360" customWidth="1"/>
    <col min="31" max="31" width="0.140625" style="2360" customWidth="1"/>
    <col min="32" max="33" width="24" style="2360" customWidth="1"/>
    <col min="34" max="34" width="11" style="2360" customWidth="1"/>
    <col min="35" max="35" width="3.7109375" style="2360" customWidth="1"/>
    <col min="36" max="36" width="11" style="2360" customWidth="1"/>
    <col min="37" max="37" width="8.5703125" style="2360" hidden="1" customWidth="1"/>
    <col min="38" max="38" width="4" style="2360" customWidth="1"/>
    <col min="39" max="39" width="115" style="2360" customWidth="1"/>
    <col min="40" max="44" width="10" style="2344" customWidth="1"/>
    <col min="45" max="45" width="10.5703125" style="2360" hidden="1"/>
  </cols>
  <sheetData>
    <row r="1" spans="1:45" ht="22.5" hidden="1" customHeight="1">
      <c r="Y1" s="264"/>
      <c r="Z1" s="264"/>
      <c r="AG1" s="264"/>
      <c r="AH1" s="264"/>
      <c r="AS1" s="1071" t="s">
        <v>14</v>
      </c>
    </row>
    <row r="2" spans="1:45" ht="21" hidden="1" customHeight="1">
      <c r="A2" s="1279"/>
      <c r="B2" s="1279"/>
      <c r="C2" s="1279"/>
      <c r="D2" s="1279"/>
      <c r="E2" s="2563">
        <v>1</v>
      </c>
      <c r="F2" s="1279"/>
      <c r="G2" s="1279"/>
      <c r="H2" s="1279"/>
      <c r="I2" s="1279"/>
      <c r="J2" s="1279"/>
      <c r="K2" s="1279"/>
      <c r="L2" s="1280"/>
      <c r="M2" s="1281"/>
      <c r="N2" s="1281"/>
      <c r="O2" s="1281"/>
      <c r="P2" s="297"/>
      <c r="Q2" s="296"/>
      <c r="R2" s="291"/>
      <c r="S2" s="1225" t="e">
        <f>INDEX(PT_DIFFERENTIATION_NUM_NTAR,MATCH(A2,PT_DIFFERENTIATION_NTAR_ID,0))</f>
        <v>#N/A</v>
      </c>
      <c r="T2" s="235" t="s">
        <v>124</v>
      </c>
      <c r="U2" s="237"/>
      <c r="V2" s="2557"/>
      <c r="W2" s="2558"/>
      <c r="X2" s="2558"/>
      <c r="Y2" s="2558"/>
      <c r="Z2" s="2558"/>
      <c r="AA2" s="2558"/>
      <c r="AB2" s="2558"/>
      <c r="AC2" s="2559"/>
      <c r="AD2" s="2557" t="e">
        <f>INDEX(PT_DIFFERENTIATION_NTAR,MATCH(A2,PT_DIFFERENTIATION_NTAR_ID,0))</f>
        <v>#N/A</v>
      </c>
      <c r="AE2" s="2558"/>
      <c r="AF2" s="2558"/>
      <c r="AG2" s="2558"/>
      <c r="AH2" s="2558"/>
      <c r="AI2" s="2558"/>
      <c r="AJ2" s="2558"/>
      <c r="AK2" s="2558"/>
      <c r="AL2" s="2559"/>
      <c r="AM2" s="1174" t="s">
        <v>395</v>
      </c>
      <c r="AO2" s="436"/>
      <c r="AP2" s="436" t="str">
        <f t="shared" ref="AP2:AP15" si="0">IF(T2="","",T2)</f>
        <v>Наименование тарифа</v>
      </c>
      <c r="AQ2" s="436"/>
      <c r="AR2" s="436"/>
      <c r="AS2" s="1071">
        <v>0</v>
      </c>
    </row>
    <row r="3" spans="1:45" ht="21" hidden="1" customHeight="1">
      <c r="A3" s="1279"/>
      <c r="B3" s="1279"/>
      <c r="C3" s="1279"/>
      <c r="D3" s="1279"/>
      <c r="E3" s="2564"/>
      <c r="F3" s="2563">
        <v>1</v>
      </c>
      <c r="G3" s="1279"/>
      <c r="H3" s="1279"/>
      <c r="I3" s="1279"/>
      <c r="J3" s="1279"/>
      <c r="K3" s="1279"/>
      <c r="L3" s="1280"/>
      <c r="M3" s="1281"/>
      <c r="N3" s="1281"/>
      <c r="O3" s="1281"/>
      <c r="P3" s="1220"/>
      <c r="Q3" s="288"/>
      <c r="R3" s="289"/>
      <c r="S3" s="1225" t="e">
        <f>INDEX(PT_DIFFERENTIATION_NUM_TER,MATCH(B3,PT_DIFFERENTIATION_TER_ID,0))</f>
        <v>#N/A</v>
      </c>
      <c r="T3" s="245" t="s">
        <v>396</v>
      </c>
      <c r="U3" s="237"/>
      <c r="V3" s="2557"/>
      <c r="W3" s="2558"/>
      <c r="X3" s="2558"/>
      <c r="Y3" s="2558"/>
      <c r="Z3" s="2558"/>
      <c r="AA3" s="2558"/>
      <c r="AB3" s="2558"/>
      <c r="AC3" s="2559"/>
      <c r="AD3" s="2557" t="e">
        <f>INDEX(PT_DIFFERENTIATION_TER,MATCH(B3,PT_DIFFERENTIATION_TER_ID,0))</f>
        <v>#N/A</v>
      </c>
      <c r="AE3" s="2558"/>
      <c r="AF3" s="2558"/>
      <c r="AG3" s="2558"/>
      <c r="AH3" s="2558"/>
      <c r="AI3" s="2558"/>
      <c r="AJ3" s="2558"/>
      <c r="AK3" s="2558"/>
      <c r="AL3" s="2559"/>
      <c r="AM3" s="1174" t="s">
        <v>397</v>
      </c>
      <c r="AO3" s="436"/>
      <c r="AP3" s="436" t="str">
        <f t="shared" si="0"/>
        <v>Территория действия тарифа</v>
      </c>
      <c r="AQ3" s="436"/>
      <c r="AR3" s="436"/>
      <c r="AS3" s="1071">
        <v>0</v>
      </c>
    </row>
    <row r="4" spans="1:45" ht="23.25" hidden="1" customHeight="1">
      <c r="A4" s="1279"/>
      <c r="B4" s="1279"/>
      <c r="C4" s="1279"/>
      <c r="D4" s="1279"/>
      <c r="E4" s="2564"/>
      <c r="F4" s="2564"/>
      <c r="G4" s="2563">
        <v>1</v>
      </c>
      <c r="H4" s="1279"/>
      <c r="I4" s="1279"/>
      <c r="J4" s="1279"/>
      <c r="K4" s="1279"/>
      <c r="L4" s="1280"/>
      <c r="M4" s="1281"/>
      <c r="N4" s="1281"/>
      <c r="O4" s="1281"/>
      <c r="P4" s="290"/>
      <c r="Q4" s="288"/>
      <c r="R4" s="289"/>
      <c r="S4" s="1225" t="e">
        <f>INDEX(PT_DIFFERENTIATION_NUM_CS,MATCH(C4,PT_DIFFERENTIATION_CS_ID,0))</f>
        <v>#N/A</v>
      </c>
      <c r="T4" s="246" t="s">
        <v>398</v>
      </c>
      <c r="U4" s="237"/>
      <c r="V4" s="2557"/>
      <c r="W4" s="2558"/>
      <c r="X4" s="2558"/>
      <c r="Y4" s="2558"/>
      <c r="Z4" s="2558"/>
      <c r="AA4" s="2558"/>
      <c r="AB4" s="2558"/>
      <c r="AC4" s="2559"/>
      <c r="AD4" s="2557" t="e">
        <f>INDEX(PT_DIFFERENTIATION_CS,MATCH(C4,PT_DIFFERENTIATION_CS_ID,0))</f>
        <v>#N/A</v>
      </c>
      <c r="AE4" s="2558"/>
      <c r="AF4" s="2558"/>
      <c r="AG4" s="2558"/>
      <c r="AH4" s="2558"/>
      <c r="AI4" s="2558"/>
      <c r="AJ4" s="2558"/>
      <c r="AK4" s="2558"/>
      <c r="AL4" s="2559"/>
      <c r="AM4" s="1174" t="s">
        <v>399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564"/>
      <c r="F5" s="2564"/>
      <c r="G5" s="2564"/>
      <c r="H5" s="2563">
        <v>1</v>
      </c>
      <c r="I5" s="1279"/>
      <c r="J5" s="1279"/>
      <c r="K5" s="1279"/>
      <c r="L5" s="1280"/>
      <c r="M5" s="1281"/>
      <c r="N5" s="1281"/>
      <c r="O5" s="1281"/>
      <c r="P5" s="290"/>
      <c r="Q5" s="288"/>
      <c r="R5" s="289"/>
      <c r="S5" s="1225" t="e">
        <f>INDEX(PT_DIFFERENTIATION_NUM_IST_TE,MATCH(D5,PT_DIFFERENTIATION_IST_TE_ID,0))</f>
        <v>#N/A</v>
      </c>
      <c r="T5" s="247" t="s">
        <v>400</v>
      </c>
      <c r="U5" s="237"/>
      <c r="V5" s="2557"/>
      <c r="W5" s="2558"/>
      <c r="X5" s="2558"/>
      <c r="Y5" s="2558"/>
      <c r="Z5" s="2558"/>
      <c r="AA5" s="2558"/>
      <c r="AB5" s="2558"/>
      <c r="AC5" s="2559"/>
      <c r="AD5" s="2557" t="e">
        <f>INDEX(PT_DIFFERENTIATION_IST_TE,MATCH(D5,PT_DIFFERENTIATION_IST_TE_ID,0))</f>
        <v>#N/A</v>
      </c>
      <c r="AE5" s="2558"/>
      <c r="AF5" s="2558"/>
      <c r="AG5" s="2558"/>
      <c r="AH5" s="2558"/>
      <c r="AI5" s="2558"/>
      <c r="AJ5" s="2558"/>
      <c r="AK5" s="2558"/>
      <c r="AL5" s="2559"/>
      <c r="AM5" s="1174" t="s">
        <v>401</v>
      </c>
      <c r="AO5" s="436"/>
      <c r="AP5" s="436" t="str">
        <f t="shared" si="0"/>
        <v xml:space="preserve">Источник тепловой энергии  </v>
      </c>
      <c r="AQ5" s="436"/>
      <c r="AR5" s="436"/>
      <c r="AS5" s="1071">
        <v>0</v>
      </c>
    </row>
    <row r="6" spans="1:45" ht="47.25" hidden="1" customHeight="1">
      <c r="A6" s="1279"/>
      <c r="B6" s="1279"/>
      <c r="C6" s="1279"/>
      <c r="D6" s="1279"/>
      <c r="E6" s="2564"/>
      <c r="F6" s="2564"/>
      <c r="G6" s="2564"/>
      <c r="H6" s="2564"/>
      <c r="I6" s="2565" t="e">
        <f>S5&amp;".1"</f>
        <v>#N/A</v>
      </c>
      <c r="J6" s="1279"/>
      <c r="K6" s="1279"/>
      <c r="L6" s="1280" t="s">
        <v>402</v>
      </c>
      <c r="M6" s="473"/>
      <c r="P6" s="2567">
        <v>1</v>
      </c>
      <c r="Q6" s="1221"/>
      <c r="R6" s="292"/>
      <c r="S6" s="1225" t="e">
        <f>$I6</f>
        <v>#N/A</v>
      </c>
      <c r="T6" s="222" t="s">
        <v>403</v>
      </c>
      <c r="U6" s="237"/>
      <c r="V6" s="2551"/>
      <c r="W6" s="2552"/>
      <c r="X6" s="2552"/>
      <c r="Y6" s="2552"/>
      <c r="Z6" s="2552"/>
      <c r="AA6" s="2552"/>
      <c r="AB6" s="2552"/>
      <c r="AC6" s="2553"/>
      <c r="AD6" s="2551"/>
      <c r="AE6" s="2552"/>
      <c r="AF6" s="2552"/>
      <c r="AG6" s="2552"/>
      <c r="AH6" s="2552"/>
      <c r="AI6" s="2552"/>
      <c r="AJ6" s="2552"/>
      <c r="AK6" s="2552"/>
      <c r="AL6" s="2553"/>
      <c r="AM6" s="1174" t="s">
        <v>404</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564"/>
      <c r="F7" s="2564"/>
      <c r="G7" s="2564"/>
      <c r="H7" s="2564"/>
      <c r="I7" s="2566"/>
      <c r="J7" s="2565" t="e">
        <f>I6&amp;".1"</f>
        <v>#N/A</v>
      </c>
      <c r="K7" s="1279"/>
      <c r="L7" s="1280" t="s">
        <v>405</v>
      </c>
      <c r="M7" s="473"/>
      <c r="N7" s="1282"/>
      <c r="P7" s="2567"/>
      <c r="Q7" s="2567">
        <v>1</v>
      </c>
      <c r="R7" s="293"/>
      <c r="S7" s="1225" t="e">
        <f>$J7</f>
        <v>#N/A</v>
      </c>
      <c r="T7" s="223" t="s">
        <v>406</v>
      </c>
      <c r="U7" s="237"/>
      <c r="V7" s="2551"/>
      <c r="W7" s="2552"/>
      <c r="X7" s="2552"/>
      <c r="Y7" s="2552"/>
      <c r="Z7" s="2552"/>
      <c r="AA7" s="2552"/>
      <c r="AB7" s="2552"/>
      <c r="AC7" s="2553"/>
      <c r="AD7" s="2551"/>
      <c r="AE7" s="2552"/>
      <c r="AF7" s="2552"/>
      <c r="AG7" s="2552"/>
      <c r="AH7" s="2552"/>
      <c r="AI7" s="2552"/>
      <c r="AJ7" s="2552"/>
      <c r="AK7" s="2552"/>
      <c r="AL7" s="2553"/>
      <c r="AM7" s="1174" t="s">
        <v>407</v>
      </c>
      <c r="AO7" s="436"/>
      <c r="AP7" s="436" t="str">
        <f t="shared" si="0"/>
        <v>Группа потребителей</v>
      </c>
      <c r="AQ7" s="436"/>
      <c r="AR7" s="436"/>
      <c r="AS7" s="1071">
        <v>0</v>
      </c>
    </row>
    <row r="8" spans="1:45" ht="21" hidden="1" customHeight="1">
      <c r="A8" s="1279"/>
      <c r="B8" s="1279"/>
      <c r="C8" s="1279"/>
      <c r="D8" s="1279"/>
      <c r="E8" s="2564"/>
      <c r="F8" s="2564"/>
      <c r="G8" s="2564"/>
      <c r="H8" s="2564"/>
      <c r="I8" s="2566"/>
      <c r="J8" s="2566"/>
      <c r="K8" s="2565" t="e">
        <f>J7&amp;".1"</f>
        <v>#N/A</v>
      </c>
      <c r="L8" s="1280" t="s">
        <v>408</v>
      </c>
      <c r="M8" s="473"/>
      <c r="N8" s="1282"/>
      <c r="O8" s="1282"/>
      <c r="P8" s="2567"/>
      <c r="Q8" s="2567"/>
      <c r="R8" s="293">
        <v>1</v>
      </c>
      <c r="S8" s="1225" t="e">
        <f>$K8</f>
        <v>#N/A</v>
      </c>
      <c r="T8" s="1263"/>
      <c r="U8" s="237"/>
      <c r="V8" s="687"/>
      <c r="W8" s="262"/>
      <c r="X8" s="687"/>
      <c r="Y8" s="1173"/>
      <c r="Z8" s="2568"/>
      <c r="AA8" s="2445" t="s">
        <v>62</v>
      </c>
      <c r="AB8" s="2568"/>
      <c r="AC8" s="2445" t="s">
        <v>62</v>
      </c>
      <c r="AD8" s="687"/>
      <c r="AE8" s="262"/>
      <c r="AF8" s="687"/>
      <c r="AG8" s="1173"/>
      <c r="AH8" s="2568"/>
      <c r="AI8" s="2445" t="s">
        <v>62</v>
      </c>
      <c r="AJ8" s="2568"/>
      <c r="AK8" s="2445" t="s">
        <v>62</v>
      </c>
      <c r="AL8" s="262"/>
      <c r="AM8" s="2586" t="s">
        <v>409</v>
      </c>
      <c r="AN8" s="447" t="e">
        <f ca="1">STRCHECKDATE(V9:AL9)</f>
        <v>#NAME?</v>
      </c>
      <c r="AO8" s="436"/>
      <c r="AP8" s="436" t="str">
        <f t="shared" si="0"/>
        <v/>
      </c>
      <c r="AQ8" s="436"/>
      <c r="AR8" s="436"/>
      <c r="AS8" s="1071">
        <v>0</v>
      </c>
    </row>
    <row r="9" spans="1:45" ht="0.75" hidden="1" customHeight="1">
      <c r="A9" s="1279"/>
      <c r="B9" s="1279"/>
      <c r="C9" s="1279"/>
      <c r="D9" s="1279"/>
      <c r="E9" s="2564"/>
      <c r="F9" s="2564"/>
      <c r="G9" s="2564"/>
      <c r="H9" s="2564"/>
      <c r="I9" s="2566"/>
      <c r="J9" s="2566"/>
      <c r="K9" s="2565"/>
      <c r="L9" s="1280"/>
      <c r="M9" s="473"/>
      <c r="N9" s="1282"/>
      <c r="O9" s="1282"/>
      <c r="P9" s="2567"/>
      <c r="Q9" s="2567"/>
      <c r="R9" s="293"/>
      <c r="S9" s="1222"/>
      <c r="T9" s="237"/>
      <c r="U9" s="237"/>
      <c r="V9" s="262"/>
      <c r="W9" s="262"/>
      <c r="X9" s="262"/>
      <c r="Y9" s="265" t="str">
        <f>Z8&amp;"-"&amp;AB8</f>
        <v>-</v>
      </c>
      <c r="Z9" s="2569"/>
      <c r="AA9" s="2445"/>
      <c r="AB9" s="2569"/>
      <c r="AC9" s="2445"/>
      <c r="AD9" s="262"/>
      <c r="AE9" s="262"/>
      <c r="AF9" s="262"/>
      <c r="AG9" s="265" t="str">
        <f>AH8&amp;"-"&amp;AJ8</f>
        <v>-</v>
      </c>
      <c r="AH9" s="2569"/>
      <c r="AI9" s="2445"/>
      <c r="AJ9" s="2569"/>
      <c r="AK9" s="2445"/>
      <c r="AL9" s="262"/>
      <c r="AM9" s="2587"/>
      <c r="AO9" s="436"/>
      <c r="AP9" s="436" t="str">
        <f t="shared" si="0"/>
        <v/>
      </c>
      <c r="AQ9" s="436"/>
      <c r="AR9" s="436"/>
      <c r="AS9" s="1071">
        <v>0</v>
      </c>
    </row>
    <row r="10" spans="1:45" ht="15" hidden="1" customHeight="1">
      <c r="A10" s="1279"/>
      <c r="B10" s="1279"/>
      <c r="C10" s="1279"/>
      <c r="D10" s="1279"/>
      <c r="E10" s="2564"/>
      <c r="F10" s="2564"/>
      <c r="G10" s="2564"/>
      <c r="H10" s="2564"/>
      <c r="I10" s="2566"/>
      <c r="J10" s="2565"/>
      <c r="K10" s="1279"/>
      <c r="L10" s="1280"/>
      <c r="M10" s="473"/>
      <c r="N10" s="1282"/>
      <c r="P10" s="2567"/>
      <c r="Q10" s="2567"/>
      <c r="R10" s="292"/>
      <c r="S10" s="1194"/>
      <c r="T10" s="225" t="s">
        <v>410</v>
      </c>
      <c r="U10" s="303"/>
      <c r="V10" s="303"/>
      <c r="W10" s="303"/>
      <c r="X10" s="303"/>
      <c r="Y10" s="303"/>
      <c r="Z10" s="303"/>
      <c r="AA10" s="303"/>
      <c r="AB10" s="303"/>
      <c r="AC10" s="303"/>
      <c r="AD10" s="303"/>
      <c r="AE10" s="303"/>
      <c r="AF10" s="303"/>
      <c r="AG10" s="303"/>
      <c r="AH10" s="303"/>
      <c r="AI10" s="303"/>
      <c r="AJ10" s="303"/>
      <c r="AK10" s="303"/>
      <c r="AL10" s="261"/>
      <c r="AM10" s="2588"/>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564"/>
      <c r="F11" s="2564"/>
      <c r="G11" s="2564"/>
      <c r="H11" s="2564"/>
      <c r="I11" s="2565"/>
      <c r="J11" s="1279"/>
      <c r="K11" s="1279"/>
      <c r="L11" s="1280"/>
      <c r="M11" s="473"/>
      <c r="P11" s="2567"/>
      <c r="Q11" s="1221"/>
      <c r="R11" s="292"/>
      <c r="S11" s="119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564"/>
      <c r="F12" s="2564"/>
      <c r="G12" s="2564"/>
      <c r="H12" s="2563"/>
      <c r="I12" s="1279"/>
      <c r="J12" s="1279"/>
      <c r="K12" s="1279"/>
      <c r="L12" s="1280"/>
      <c r="M12" s="1281"/>
      <c r="N12" s="1281"/>
      <c r="O12" s="473"/>
      <c r="P12" s="296"/>
      <c r="Q12" s="311"/>
      <c r="R12" s="291"/>
      <c r="S12" s="119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344" customFormat="1" ht="0.75" hidden="1" customHeight="1">
      <c r="A13" s="1230"/>
      <c r="B13" s="1230"/>
      <c r="C13" s="1230"/>
      <c r="D13" s="1230"/>
      <c r="E13" s="2564"/>
      <c r="F13" s="2564"/>
      <c r="G13" s="2563"/>
      <c r="H13" s="1230"/>
      <c r="I13" s="1230"/>
      <c r="J13" s="1230"/>
      <c r="K13" s="1230"/>
      <c r="L13" s="1255"/>
      <c r="M13" s="1231"/>
      <c r="N13" s="1231"/>
      <c r="P13" s="1232"/>
      <c r="Q13" s="1233"/>
      <c r="R13" s="1232"/>
      <c r="S13" s="1234"/>
      <c r="T13" s="1235" t="s">
        <v>413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344" customFormat="1" ht="0.75" hidden="1" customHeight="1">
      <c r="A14" s="1230"/>
      <c r="B14" s="1230"/>
      <c r="C14" s="1230"/>
      <c r="D14" s="1230"/>
      <c r="E14" s="2564"/>
      <c r="F14" s="2563"/>
      <c r="G14" s="1230"/>
      <c r="H14" s="1230"/>
      <c r="I14" s="1230"/>
      <c r="J14" s="1230"/>
      <c r="K14" s="1230"/>
      <c r="L14" s="1255"/>
      <c r="M14" s="1237"/>
      <c r="N14" s="1237"/>
      <c r="P14" s="1232"/>
      <c r="Q14" s="1233"/>
      <c r="R14" s="1232"/>
      <c r="S14" s="1238"/>
      <c r="T14" s="1239" t="s">
        <v>414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344" customFormat="1" ht="0.75" hidden="1" customHeight="1">
      <c r="A15" s="1230"/>
      <c r="B15" s="1230"/>
      <c r="C15" s="1230"/>
      <c r="D15" s="1230"/>
      <c r="E15" s="2563"/>
      <c r="F15" s="1230"/>
      <c r="G15" s="1230"/>
      <c r="H15" s="1230"/>
      <c r="I15" s="1230"/>
      <c r="J15" s="1230"/>
      <c r="K15" s="1230"/>
      <c r="L15" s="1255"/>
      <c r="M15" s="1237"/>
      <c r="N15" s="1237"/>
      <c r="P15" s="1232"/>
      <c r="Q15" s="1233"/>
      <c r="R15" s="1232"/>
      <c r="S15" s="1238"/>
      <c r="T15" s="1241" t="s">
        <v>415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P17" s="1227"/>
      <c r="AD17" s="1276"/>
      <c r="AE17" s="1276"/>
      <c r="AF17" s="1276"/>
      <c r="AG17" s="1277"/>
      <c r="AH17" s="2561"/>
      <c r="AI17" s="2560" t="s">
        <v>62</v>
      </c>
      <c r="AJ17" s="2561"/>
      <c r="AK17" s="2560" t="s">
        <v>62</v>
      </c>
      <c r="AS17" s="1071">
        <v>0</v>
      </c>
    </row>
    <row r="18" spans="1:45" ht="14.25" hidden="1" customHeight="1">
      <c r="P18" s="1227"/>
      <c r="AD18" s="1276"/>
      <c r="AE18" s="1276"/>
      <c r="AF18" s="1276"/>
      <c r="AG18" s="265" t="str">
        <f>AH17&amp;"-"&amp;AJ17</f>
        <v>-</v>
      </c>
      <c r="AH18" s="2560"/>
      <c r="AI18" s="2560"/>
      <c r="AJ18" s="2560"/>
      <c r="AK18" s="2560"/>
      <c r="AS18" s="1071">
        <v>0</v>
      </c>
    </row>
    <row r="19" spans="1:45" ht="14.25" hidden="1" customHeight="1">
      <c r="P19" s="1227"/>
      <c r="AK19" s="264"/>
      <c r="AS19" s="1071">
        <v>0</v>
      </c>
    </row>
    <row r="20" spans="1:45" s="2357" customFormat="1" ht="22.5" hidden="1" customHeight="1">
      <c r="L20" s="1245"/>
      <c r="M20" s="1278"/>
      <c r="N20" s="1278"/>
      <c r="O20" s="1283" t="s">
        <v>416</v>
      </c>
      <c r="P20" s="1278"/>
      <c r="Q20" s="1287"/>
      <c r="R20" s="1287"/>
      <c r="S20" s="665"/>
      <c r="Z20" s="1283"/>
      <c r="AB20" s="1283"/>
      <c r="AC20" s="1282"/>
      <c r="AH20" s="1283"/>
      <c r="AJ20" s="1283"/>
      <c r="AK20" s="1282"/>
      <c r="AN20" s="447"/>
      <c r="AO20" s="447"/>
      <c r="AP20" s="447"/>
      <c r="AQ20" s="447"/>
      <c r="AR20" s="447"/>
      <c r="AS20" s="1076">
        <v>0</v>
      </c>
    </row>
    <row r="21" spans="1:45" s="235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57" customFormat="1" ht="14.25" hidden="1" customHeight="1">
      <c r="L22" s="1245"/>
      <c r="M22" s="1278"/>
      <c r="N22" s="1278"/>
      <c r="O22" s="1280" t="s">
        <v>417</v>
      </c>
      <c r="P22" s="1278"/>
      <c r="Q22" s="1287"/>
      <c r="R22" s="1287"/>
      <c r="S22" s="665"/>
      <c r="T22" s="1076" t="s">
        <v>418</v>
      </c>
      <c r="AA22" s="123" t="s">
        <v>419</v>
      </c>
      <c r="AC22" s="123" t="s">
        <v>420</v>
      </c>
      <c r="AD22" s="1076" t="s">
        <v>418</v>
      </c>
      <c r="AI22" s="123" t="s">
        <v>421</v>
      </c>
      <c r="AK22" s="123" t="s">
        <v>420</v>
      </c>
      <c r="AN22" s="447"/>
      <c r="AO22" s="447"/>
      <c r="AP22" s="447"/>
      <c r="AQ22" s="447"/>
      <c r="AR22" s="447"/>
      <c r="AS22" s="1076">
        <v>0</v>
      </c>
    </row>
    <row r="23" spans="1:45" ht="14.25" hidden="1" customHeight="1">
      <c r="O23" s="1280"/>
      <c r="P23" s="1227"/>
      <c r="AS23" s="1071">
        <v>0</v>
      </c>
    </row>
    <row r="24" spans="1:45" ht="14.25" hidden="1" customHeight="1">
      <c r="O24" s="1280"/>
      <c r="P24" s="1227"/>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14.65" customHeight="1">
      <c r="Q26" s="312"/>
      <c r="R26" s="312"/>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9"/>
      <c r="AS26" s="1071">
        <v>14</v>
      </c>
    </row>
    <row r="27" spans="1:45" ht="14.65" customHeight="1">
      <c r="Q27" s="312"/>
      <c r="R27" s="312"/>
      <c r="S27" s="2516" t="str">
        <f>IF(org=0,"Не определено",org)</f>
        <v>ООО "Пятигорсктеплосервис"</v>
      </c>
      <c r="T27" s="2516"/>
      <c r="U27" s="2516"/>
      <c r="V27" s="2516"/>
      <c r="W27" s="2516"/>
      <c r="X27" s="2516"/>
      <c r="Y27" s="2516"/>
      <c r="Z27" s="2516"/>
      <c r="AA27" s="2516"/>
      <c r="AB27" s="2516"/>
      <c r="AC27" s="2516"/>
      <c r="AD27" s="2516"/>
      <c r="AE27" s="2516"/>
      <c r="AF27" s="2516"/>
      <c r="AG27" s="2516"/>
      <c r="AH27" s="2516"/>
      <c r="AI27" s="2516"/>
      <c r="AJ27" s="2516"/>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380" customFormat="1" ht="25.5" hidden="1" customHeight="1">
      <c r="A29" s="1284"/>
      <c r="B29" s="1284"/>
      <c r="C29" s="1284"/>
      <c r="D29" s="1284"/>
      <c r="E29" s="1284"/>
      <c r="F29" s="1284"/>
      <c r="G29" s="1284"/>
      <c r="H29" s="1284"/>
      <c r="I29" s="1284"/>
      <c r="J29" s="1284"/>
      <c r="K29" s="1284"/>
      <c r="L29" s="1285"/>
      <c r="M29" s="1284"/>
      <c r="N29" s="1284"/>
      <c r="O29" s="1284"/>
      <c r="S29" s="2554" t="s">
        <v>41</v>
      </c>
      <c r="T29" s="2554"/>
      <c r="U29" s="1288"/>
      <c r="V29" s="2556" t="str">
        <f>IF(TITLE_NAME_OR_PR_CHANGE="",IF(TITLE_NAME_OR_PR="","",TITLE_NAME_OR_PR),TITLE_NAME_OR_PR_CHANGE)</f>
        <v/>
      </c>
      <c r="W29" s="2556"/>
      <c r="X29" s="2556"/>
      <c r="Y29" s="2556"/>
      <c r="Z29" s="2556"/>
      <c r="AA29" s="2556"/>
      <c r="AB29" s="2556"/>
      <c r="AC29" s="263"/>
      <c r="AD29" s="2556" t="str">
        <f>IF(TITLE_NAME_OR_PR_CHANGE="",IF(TITLE_NAME_OR_PR="","",TITLE_NAME_OR_PR),TITLE_NAME_OR_PR_CHANGE)</f>
        <v/>
      </c>
      <c r="AE29" s="2556"/>
      <c r="AF29" s="2556"/>
      <c r="AG29" s="2556"/>
      <c r="AH29" s="2556"/>
      <c r="AI29" s="2556"/>
      <c r="AJ29" s="2556"/>
      <c r="AK29" s="263"/>
      <c r="AL29" s="263"/>
      <c r="AM29" s="217"/>
      <c r="AN29" s="304"/>
      <c r="AO29" s="304"/>
      <c r="AP29" s="304"/>
      <c r="AQ29" s="304"/>
      <c r="AR29" s="304"/>
      <c r="AS29" s="354">
        <v>0</v>
      </c>
    </row>
    <row r="30" spans="1:45" s="2380" customFormat="1" ht="18.75" hidden="1" customHeight="1">
      <c r="A30" s="1284"/>
      <c r="B30" s="1284"/>
      <c r="C30" s="1284"/>
      <c r="D30" s="1284"/>
      <c r="E30" s="1284"/>
      <c r="F30" s="1284"/>
      <c r="G30" s="1284"/>
      <c r="H30" s="1284"/>
      <c r="I30" s="1284"/>
      <c r="J30" s="1284"/>
      <c r="K30" s="1284"/>
      <c r="L30" s="1285"/>
      <c r="M30" s="1284"/>
      <c r="N30" s="1284"/>
      <c r="O30" s="1284"/>
      <c r="S30" s="2554" t="s">
        <v>422</v>
      </c>
      <c r="T30" s="2554"/>
      <c r="U30" s="1288"/>
      <c r="V30" s="2555" t="str">
        <f>IF(TITLE_DATE_PR_CHANGE="",IF(TITLE_DATE_PR="","",TITLE_DATE_PR),TITLE_DATE_PR_CHANGE)</f>
        <v/>
      </c>
      <c r="W30" s="2555"/>
      <c r="X30" s="2555"/>
      <c r="Y30" s="2555"/>
      <c r="Z30" s="2555"/>
      <c r="AA30" s="2555"/>
      <c r="AB30" s="2555"/>
      <c r="AC30" s="263"/>
      <c r="AD30" s="2555" t="str">
        <f>IF(TITLE_DATE_PR_CHANGE="",IF(TITLE_DATE_PR="","",TITLE_DATE_PR),TITLE_DATE_PR_CHANGE)</f>
        <v/>
      </c>
      <c r="AE30" s="2555"/>
      <c r="AF30" s="2555"/>
      <c r="AG30" s="2555"/>
      <c r="AH30" s="2555"/>
      <c r="AI30" s="2555"/>
      <c r="AJ30" s="2555"/>
      <c r="AK30" s="263"/>
      <c r="AL30" s="263"/>
      <c r="AM30" s="217"/>
      <c r="AN30" s="304"/>
      <c r="AO30" s="304"/>
      <c r="AP30" s="304"/>
      <c r="AQ30" s="304"/>
      <c r="AR30" s="304"/>
      <c r="AS30" s="354">
        <v>0</v>
      </c>
    </row>
    <row r="31" spans="1:45" s="2380" customFormat="1" ht="18.75" hidden="1" customHeight="1">
      <c r="A31" s="1284"/>
      <c r="B31" s="1284"/>
      <c r="C31" s="1284"/>
      <c r="D31" s="1284"/>
      <c r="E31" s="1284"/>
      <c r="F31" s="1284"/>
      <c r="G31" s="1284"/>
      <c r="H31" s="1284"/>
      <c r="I31" s="1284"/>
      <c r="J31" s="1284"/>
      <c r="K31" s="1284"/>
      <c r="L31" s="1285"/>
      <c r="M31" s="1284"/>
      <c r="N31" s="1284"/>
      <c r="O31" s="1284"/>
      <c r="S31" s="2554" t="s">
        <v>423</v>
      </c>
      <c r="T31" s="2554"/>
      <c r="U31" s="1288"/>
      <c r="V31" s="2556" t="str">
        <f>IF(TITLE_NUMBER_PR_CHANGE="",IF(TITLE_NUMBER_PR="","",TITLE_NUMBER_PR),TITLE_NUMBER_PR_CHANGE)</f>
        <v/>
      </c>
      <c r="W31" s="2556"/>
      <c r="X31" s="2556"/>
      <c r="Y31" s="2556"/>
      <c r="Z31" s="2556"/>
      <c r="AA31" s="2556"/>
      <c r="AB31" s="2556"/>
      <c r="AC31" s="263"/>
      <c r="AD31" s="2556" t="str">
        <f>IF(TITLE_NUMBER_PR_CHANGE="",IF(TITLE_NUMBER_PR="","",TITLE_NUMBER_PR),TITLE_NUMBER_PR_CHANGE)</f>
        <v/>
      </c>
      <c r="AE31" s="2556"/>
      <c r="AF31" s="2556"/>
      <c r="AG31" s="2556"/>
      <c r="AH31" s="2556"/>
      <c r="AI31" s="2556"/>
      <c r="AJ31" s="2556"/>
      <c r="AK31" s="263"/>
      <c r="AL31" s="263"/>
      <c r="AM31" s="217"/>
      <c r="AN31" s="304"/>
      <c r="AO31" s="304"/>
      <c r="AP31" s="304"/>
      <c r="AQ31" s="304"/>
      <c r="AR31" s="304"/>
      <c r="AS31" s="354">
        <v>0</v>
      </c>
    </row>
    <row r="32" spans="1:45" s="2380" customFormat="1" ht="18.75" hidden="1" customHeight="1">
      <c r="A32" s="1284"/>
      <c r="B32" s="1284"/>
      <c r="C32" s="1284"/>
      <c r="D32" s="1284"/>
      <c r="E32" s="1284"/>
      <c r="F32" s="1284"/>
      <c r="G32" s="1284"/>
      <c r="H32" s="1284"/>
      <c r="I32" s="1284"/>
      <c r="J32" s="1284"/>
      <c r="K32" s="1284"/>
      <c r="L32" s="1285"/>
      <c r="M32" s="1284"/>
      <c r="N32" s="1284"/>
      <c r="O32" s="1284"/>
      <c r="S32" s="2554" t="s">
        <v>42</v>
      </c>
      <c r="T32" s="2554"/>
      <c r="U32" s="1288"/>
      <c r="V32" s="2556" t="str">
        <f>IF(TITLE_IST_PUB_CHANGE="",IF(TITLE_IST_PUB="","",TITLE_IST_PUB),TITLE_IST_PUB_CHANGE)</f>
        <v/>
      </c>
      <c r="W32" s="2556"/>
      <c r="X32" s="2556"/>
      <c r="Y32" s="2556"/>
      <c r="Z32" s="2556"/>
      <c r="AA32" s="2556"/>
      <c r="AB32" s="2556"/>
      <c r="AC32" s="263"/>
      <c r="AD32" s="2556" t="str">
        <f>IF(TITLE_IST_PUB_CHANGE="",IF(TITLE_IST_PUB="","",TITLE_IST_PUB),TITLE_IST_PUB_CHANGE)</f>
        <v/>
      </c>
      <c r="AE32" s="2556"/>
      <c r="AF32" s="2556"/>
      <c r="AG32" s="2556"/>
      <c r="AH32" s="2556"/>
      <c r="AI32" s="2556"/>
      <c r="AJ32" s="2556"/>
      <c r="AK32" s="263"/>
      <c r="AL32" s="263"/>
      <c r="AM32" s="217"/>
      <c r="AN32" s="304"/>
      <c r="AO32" s="304"/>
      <c r="AP32" s="304"/>
      <c r="AQ32" s="304"/>
      <c r="AR32" s="304"/>
      <c r="AS32" s="354">
        <v>0</v>
      </c>
    </row>
    <row r="33" spans="1:45" ht="14.25" hidden="1" customHeight="1">
      <c r="P33" s="1244"/>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380" customFormat="1" ht="18.75" hidden="1" customHeight="1">
      <c r="A34" s="1284"/>
      <c r="B34" s="1284"/>
      <c r="C34" s="1284"/>
      <c r="D34" s="1284"/>
      <c r="E34" s="1284"/>
      <c r="F34" s="1284"/>
      <c r="G34" s="1284"/>
      <c r="H34" s="1284"/>
      <c r="I34" s="1284"/>
      <c r="J34" s="1284"/>
      <c r="K34" s="1284"/>
      <c r="L34" s="1285"/>
      <c r="M34" s="1284"/>
      <c r="N34" s="1284"/>
      <c r="O34" s="1284"/>
      <c r="S34" s="2554" t="s">
        <v>424</v>
      </c>
      <c r="T34" s="2554"/>
      <c r="U34" s="1288"/>
      <c r="V34" s="2555" t="str">
        <f>IF(TITLE_DATE_PR_CHANGE="",IF(TITLE_DATE_PR="","",TITLE_DATE_PR),TITLE_DATE_PR_CHANGE)</f>
        <v/>
      </c>
      <c r="W34" s="2555"/>
      <c r="X34" s="2555"/>
      <c r="Y34" s="2555"/>
      <c r="Z34" s="2555"/>
      <c r="AA34" s="2555"/>
      <c r="AB34" s="2555"/>
      <c r="AC34" s="263"/>
      <c r="AD34" s="2555" t="str">
        <f>IF(TITLE_DATE_PR_CHANGE="",IF(TITLE_DATE_PR="","",TITLE_DATE_PR),TITLE_DATE_PR_CHANGE)</f>
        <v/>
      </c>
      <c r="AE34" s="2555"/>
      <c r="AF34" s="2555"/>
      <c r="AG34" s="2555"/>
      <c r="AH34" s="2555"/>
      <c r="AI34" s="2555"/>
      <c r="AJ34" s="2555"/>
      <c r="AK34" s="263"/>
      <c r="AL34" s="263"/>
      <c r="AM34" s="217"/>
      <c r="AN34" s="304"/>
      <c r="AO34" s="304"/>
      <c r="AP34" s="304"/>
      <c r="AQ34" s="304"/>
      <c r="AR34" s="304"/>
      <c r="AS34" s="354">
        <v>0</v>
      </c>
    </row>
    <row r="35" spans="1:45" s="2380" customFormat="1" ht="18.75" hidden="1" customHeight="1">
      <c r="A35" s="1284"/>
      <c r="B35" s="1284"/>
      <c r="C35" s="1284"/>
      <c r="D35" s="1284"/>
      <c r="E35" s="1284"/>
      <c r="F35" s="1284"/>
      <c r="G35" s="1284"/>
      <c r="H35" s="1284"/>
      <c r="I35" s="1284"/>
      <c r="J35" s="1284"/>
      <c r="K35" s="1284"/>
      <c r="L35" s="1285"/>
      <c r="M35" s="1284"/>
      <c r="N35" s="1284"/>
      <c r="O35" s="1284"/>
      <c r="S35" s="2554" t="s">
        <v>425</v>
      </c>
      <c r="T35" s="2554"/>
      <c r="U35" s="1288"/>
      <c r="V35" s="2556" t="str">
        <f>IF(TITLE_NUMBER_PR_CHANGE="",IF(TITLE_NUMBER_PR="","",TITLE_NUMBER_PR),TITLE_NUMBER_PR_CHANGE)</f>
        <v/>
      </c>
      <c r="W35" s="2556"/>
      <c r="X35" s="2556"/>
      <c r="Y35" s="2556"/>
      <c r="Z35" s="2556"/>
      <c r="AA35" s="2556"/>
      <c r="AB35" s="2556"/>
      <c r="AC35" s="263"/>
      <c r="AD35" s="2556" t="str">
        <f>IF(TITLE_NUMBER_PR_CHANGE="",IF(TITLE_NUMBER_PR="","",TITLE_NUMBER_PR),TITLE_NUMBER_PR_CHANGE)</f>
        <v/>
      </c>
      <c r="AE35" s="2556"/>
      <c r="AF35" s="2556"/>
      <c r="AG35" s="2556"/>
      <c r="AH35" s="2556"/>
      <c r="AI35" s="2556"/>
      <c r="AJ35" s="2556"/>
      <c r="AK35" s="263"/>
      <c r="AL35" s="263"/>
      <c r="AM35" s="217"/>
      <c r="AN35" s="304"/>
      <c r="AO35" s="304"/>
      <c r="AP35" s="304"/>
      <c r="AQ35" s="304"/>
      <c r="AR35" s="304"/>
      <c r="AS35" s="354">
        <v>0</v>
      </c>
    </row>
    <row r="36" spans="1:45" s="2380" customFormat="1" ht="0" hidden="1" customHeight="1">
      <c r="A36" s="1284"/>
      <c r="B36" s="1284"/>
      <c r="C36" s="1284"/>
      <c r="D36" s="1284"/>
      <c r="E36" s="1284"/>
      <c r="F36" s="1284"/>
      <c r="G36" s="1284"/>
      <c r="H36" s="1284"/>
      <c r="I36" s="1284"/>
      <c r="J36" s="1284"/>
      <c r="K36" s="1284"/>
      <c r="L36" s="1285"/>
      <c r="M36" s="1284"/>
      <c r="N36" s="1284"/>
      <c r="O36" s="1284"/>
      <c r="S36" s="260"/>
      <c r="T36" s="260"/>
      <c r="U36" s="113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1"/>
      <c r="T37" s="299"/>
      <c r="U37" s="1160"/>
      <c r="V37" s="2575"/>
      <c r="W37" s="2575"/>
      <c r="X37" s="2575"/>
      <c r="Y37" s="2575"/>
      <c r="Z37" s="2575"/>
      <c r="AA37" s="2575"/>
      <c r="AB37" s="2575"/>
      <c r="AC37" s="2575"/>
      <c r="AD37" s="2575"/>
      <c r="AE37" s="2575"/>
      <c r="AF37" s="2575"/>
      <c r="AG37" s="2575"/>
      <c r="AH37" s="2575"/>
      <c r="AI37" s="2575"/>
      <c r="AJ37" s="2575"/>
      <c r="AK37" s="2575"/>
      <c r="AS37" s="1071">
        <v>14</v>
      </c>
    </row>
    <row r="38" spans="1:45" ht="14.65" customHeight="1">
      <c r="Q38" s="312"/>
      <c r="R38" s="312"/>
      <c r="S38" s="2435" t="s">
        <v>299</v>
      </c>
      <c r="T38" s="2435"/>
      <c r="U38" s="2435"/>
      <c r="V38" s="2435"/>
      <c r="W38" s="2435"/>
      <c r="X38" s="2435"/>
      <c r="Y38" s="2435"/>
      <c r="Z38" s="2435"/>
      <c r="AA38" s="2435"/>
      <c r="AB38" s="2435"/>
      <c r="AC38" s="2435"/>
      <c r="AD38" s="2435"/>
      <c r="AE38" s="2435"/>
      <c r="AF38" s="2435"/>
      <c r="AG38" s="2435"/>
      <c r="AH38" s="2435"/>
      <c r="AI38" s="2435"/>
      <c r="AJ38" s="2435"/>
      <c r="AK38" s="2435"/>
      <c r="AL38" s="2435"/>
      <c r="AM38" s="2435" t="s">
        <v>300</v>
      </c>
      <c r="AS38" s="1071">
        <v>14</v>
      </c>
    </row>
    <row r="39" spans="1:45" ht="14.65" customHeight="1">
      <c r="Q39" s="312"/>
      <c r="R39" s="312"/>
      <c r="S39" s="2576" t="s">
        <v>88</v>
      </c>
      <c r="T39" s="2524" t="s">
        <v>427</v>
      </c>
      <c r="U39" s="238"/>
      <c r="V39" s="2577" t="s">
        <v>428</v>
      </c>
      <c r="W39" s="2578"/>
      <c r="X39" s="2578"/>
      <c r="Y39" s="2578"/>
      <c r="Z39" s="2578"/>
      <c r="AA39" s="2578"/>
      <c r="AB39" s="2579"/>
      <c r="AC39" s="2580" t="s">
        <v>429</v>
      </c>
      <c r="AD39" s="2577" t="s">
        <v>428</v>
      </c>
      <c r="AE39" s="2578"/>
      <c r="AF39" s="2578"/>
      <c r="AG39" s="2578"/>
      <c r="AH39" s="2578"/>
      <c r="AI39" s="2578"/>
      <c r="AJ39" s="2579"/>
      <c r="AK39" s="2580" t="s">
        <v>430</v>
      </c>
      <c r="AL39" s="2583" t="s">
        <v>431</v>
      </c>
      <c r="AM39" s="2435"/>
      <c r="AS39" s="1071">
        <v>14</v>
      </c>
    </row>
    <row r="40" spans="1:45" ht="35.65" customHeight="1">
      <c r="Q40" s="312"/>
      <c r="R40" s="312"/>
      <c r="S40" s="2576"/>
      <c r="T40" s="2524"/>
      <c r="U40" s="953"/>
      <c r="V40" s="2494" t="s">
        <v>432</v>
      </c>
      <c r="W40" s="2572" t="s">
        <v>433</v>
      </c>
      <c r="X40" s="2417" t="s">
        <v>434</v>
      </c>
      <c r="Y40" s="2416"/>
      <c r="Z40" s="2417" t="s">
        <v>435</v>
      </c>
      <c r="AA40" s="2422"/>
      <c r="AB40" s="2416"/>
      <c r="AC40" s="2581"/>
      <c r="AD40" s="2494" t="s">
        <v>432</v>
      </c>
      <c r="AE40" s="2572" t="s">
        <v>433</v>
      </c>
      <c r="AF40" s="2417" t="s">
        <v>434</v>
      </c>
      <c r="AG40" s="2416"/>
      <c r="AH40" s="2417" t="s">
        <v>435</v>
      </c>
      <c r="AI40" s="2422"/>
      <c r="AJ40" s="2416"/>
      <c r="AK40" s="2581"/>
      <c r="AL40" s="2584"/>
      <c r="AM40" s="2435"/>
      <c r="AS40" s="1071">
        <v>34</v>
      </c>
    </row>
    <row r="41" spans="1:45" ht="35.65" customHeight="1">
      <c r="A41" s="1286"/>
      <c r="B41" s="1286" t="s">
        <v>136</v>
      </c>
      <c r="C41" s="1286" t="s">
        <v>137</v>
      </c>
      <c r="D41" s="1286" t="s">
        <v>138</v>
      </c>
      <c r="E41" s="1280" t="s">
        <v>436</v>
      </c>
      <c r="F41" s="1280" t="s">
        <v>437</v>
      </c>
      <c r="G41" s="1280" t="s">
        <v>438</v>
      </c>
      <c r="H41" s="1280" t="s">
        <v>439</v>
      </c>
      <c r="I41" s="1280" t="s">
        <v>440</v>
      </c>
      <c r="J41" s="1280" t="s">
        <v>441</v>
      </c>
      <c r="K41" s="1280" t="s">
        <v>442</v>
      </c>
      <c r="L41" s="1280" t="s">
        <v>417</v>
      </c>
      <c r="Q41" s="312"/>
      <c r="R41" s="312"/>
      <c r="S41" s="2576"/>
      <c r="T41" s="2524"/>
      <c r="U41" s="239"/>
      <c r="V41" s="2549"/>
      <c r="W41" s="2573"/>
      <c r="X41" s="1138" t="s">
        <v>443</v>
      </c>
      <c r="Y41" s="1138" t="s">
        <v>444</v>
      </c>
      <c r="Z41" s="1137" t="s">
        <v>445</v>
      </c>
      <c r="AA41" s="2529" t="s">
        <v>446</v>
      </c>
      <c r="AB41" s="2543"/>
      <c r="AC41" s="2582"/>
      <c r="AD41" s="2549"/>
      <c r="AE41" s="2573"/>
      <c r="AF41" s="1138" t="s">
        <v>443</v>
      </c>
      <c r="AG41" s="1138" t="s">
        <v>444</v>
      </c>
      <c r="AH41" s="1229" t="s">
        <v>445</v>
      </c>
      <c r="AI41" s="2529" t="s">
        <v>446</v>
      </c>
      <c r="AJ41" s="2543"/>
      <c r="AK41" s="2582"/>
      <c r="AL41" s="2585"/>
      <c r="AM41" s="2435"/>
      <c r="AS41" s="1071">
        <v>34</v>
      </c>
    </row>
    <row r="42" spans="1:45" s="233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109</v>
      </c>
      <c r="T42" s="1171" t="s">
        <v>110</v>
      </c>
      <c r="U42" s="1161" t="str">
        <f ca="1">OFFSET(U42,0,-1)</f>
        <v>2</v>
      </c>
      <c r="V42" s="1172">
        <f ca="1">OFFSET(V42,0,-1)+1</f>
        <v>3</v>
      </c>
      <c r="W42" s="1172"/>
      <c r="X42" s="1172">
        <f ca="1">OFFSET(X42,0,-1)+1</f>
        <v>1</v>
      </c>
      <c r="Y42" s="1172">
        <f ca="1">OFFSET(Y42,0,-1)+1</f>
        <v>2</v>
      </c>
      <c r="Z42" s="1172">
        <f ca="1">OFFSET(Z42,0,-1)+1</f>
        <v>3</v>
      </c>
      <c r="AA42" s="2574">
        <f ca="1">OFFSET(AA42,0,-1)+1</f>
        <v>4</v>
      </c>
      <c r="AB42" s="2574"/>
      <c r="AC42" s="1172">
        <f ca="1">OFFSET(AC42,0,-2)+1</f>
        <v>5</v>
      </c>
      <c r="AD42" s="1228">
        <f ca="1">OFFSET(AD42,0,-1)+1</f>
        <v>6</v>
      </c>
      <c r="AE42" s="1228"/>
      <c r="AF42" s="1228">
        <f ca="1">OFFSET(AF42,0,-1)+1</f>
        <v>1</v>
      </c>
      <c r="AG42" s="1228">
        <f ca="1">OFFSET(AG42,0,-1)+1</f>
        <v>2</v>
      </c>
      <c r="AH42" s="1228">
        <f ca="1">OFFSET(AH42,0,-1)+1</f>
        <v>3</v>
      </c>
      <c r="AI42" s="2574">
        <f ca="1">OFFSET(AI42,0,-1)+1</f>
        <v>4</v>
      </c>
      <c r="AJ42" s="2574"/>
      <c r="AK42" s="1228">
        <f ca="1">OFFSET(AK42,0,-2)+1</f>
        <v>5</v>
      </c>
      <c r="AL42" s="1161">
        <f ca="1">OFFSET(AL42,0,-1)</f>
        <v>5</v>
      </c>
      <c r="AM42" s="1172">
        <f ca="1">OFFSET(AM42,0,-1)+1</f>
        <v>6</v>
      </c>
      <c r="AN42" s="447"/>
      <c r="AO42" s="447"/>
      <c r="AP42" s="447"/>
      <c r="AQ42" s="447"/>
      <c r="AR42" s="447"/>
      <c r="AS42" s="432">
        <v>0</v>
      </c>
    </row>
    <row r="43" spans="1:45" ht="24" customHeight="1">
      <c r="A43" s="1279" t="s">
        <v>157</v>
      </c>
      <c r="B43" s="1279"/>
      <c r="C43" s="1279"/>
      <c r="D43" s="1279"/>
      <c r="E43" s="2563">
        <v>1</v>
      </c>
      <c r="F43" s="1279"/>
      <c r="G43" s="1279"/>
      <c r="H43" s="1279"/>
      <c r="I43" s="1279"/>
      <c r="J43" s="1279"/>
      <c r="K43" s="1279"/>
      <c r="L43" s="1280"/>
      <c r="M43" s="1281"/>
      <c r="N43" s="1281"/>
      <c r="O43" s="1281"/>
      <c r="P43" s="297"/>
      <c r="Q43" s="296"/>
      <c r="R43" s="291"/>
      <c r="S43" s="1140">
        <f>INDEX(PT_DIFFERENTIATION_NUM_NTAR,MATCH(A43,PT_DIFFERENTIATION_NTAR_ID,0))</f>
        <v>0</v>
      </c>
      <c r="T43" s="235" t="s">
        <v>124</v>
      </c>
      <c r="U43" s="237"/>
      <c r="V43" s="2557"/>
      <c r="W43" s="2558"/>
      <c r="X43" s="2558"/>
      <c r="Y43" s="2558"/>
      <c r="Z43" s="2558"/>
      <c r="AA43" s="2558"/>
      <c r="AB43" s="2558"/>
      <c r="AC43" s="2559"/>
      <c r="AD43" s="2557" t="str">
        <f>INDEX(PT_DIFFERENTIATION_NTAR,MATCH(A43,PT_DIFFERENTIATION_NTAR_ID,0))</f>
        <v/>
      </c>
      <c r="AE43" s="2558"/>
      <c r="AF43" s="2558"/>
      <c r="AG43" s="2558"/>
      <c r="AH43" s="2558"/>
      <c r="AI43" s="2558"/>
      <c r="AJ43" s="2558"/>
      <c r="AK43" s="2558"/>
      <c r="AL43" s="255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23</v>
      </c>
    </row>
    <row r="44" spans="1:45" ht="24" customHeight="1">
      <c r="A44" s="1279" t="s">
        <v>157</v>
      </c>
      <c r="B44" s="1279" t="s">
        <v>158</v>
      </c>
      <c r="C44" s="1279"/>
      <c r="D44" s="1279"/>
      <c r="E44" s="2564"/>
      <c r="F44" s="2563">
        <v>1</v>
      </c>
      <c r="G44" s="1279"/>
      <c r="H44" s="1279"/>
      <c r="I44" s="1279"/>
      <c r="J44" s="1279"/>
      <c r="K44" s="1279"/>
      <c r="L44" s="1280"/>
      <c r="M44" s="1281"/>
      <c r="N44" s="1281"/>
      <c r="O44" s="1281"/>
      <c r="P44" s="458"/>
      <c r="Q44" s="288"/>
      <c r="R44" s="289"/>
      <c r="S44" s="1140" t="str">
        <f>INDEX(PT_DIFFERENTIATION_NUM_TER,MATCH(B44,PT_DIFFERENTIATION_TER_ID,0))</f>
        <v>.</v>
      </c>
      <c r="T44" s="245" t="s">
        <v>396</v>
      </c>
      <c r="U44" s="237"/>
      <c r="V44" s="2557"/>
      <c r="W44" s="2558"/>
      <c r="X44" s="2558"/>
      <c r="Y44" s="2558"/>
      <c r="Z44" s="2558"/>
      <c r="AA44" s="2558"/>
      <c r="AB44" s="2558"/>
      <c r="AC44" s="2559"/>
      <c r="AD44" s="2557" t="str">
        <f>INDEX(PT_DIFFERENTIATION_TER,MATCH(B44,PT_DIFFERENTIATION_TER_ID,0))</f>
        <v/>
      </c>
      <c r="AE44" s="2558"/>
      <c r="AF44" s="2558"/>
      <c r="AG44" s="2558"/>
      <c r="AH44" s="2558"/>
      <c r="AI44" s="2558"/>
      <c r="AJ44" s="2558"/>
      <c r="AK44" s="2558"/>
      <c r="AL44" s="2559"/>
      <c r="AM44" s="1174" t="s">
        <v>397</v>
      </c>
      <c r="AO44" s="436"/>
      <c r="AP44" s="436" t="str">
        <f t="shared" si="1"/>
        <v>Территория действия тарифа</v>
      </c>
      <c r="AQ44" s="436"/>
      <c r="AR44" s="436"/>
      <c r="AS44" s="1071">
        <v>23</v>
      </c>
    </row>
    <row r="45" spans="1:45" ht="24" customHeight="1">
      <c r="A45" s="1279" t="s">
        <v>157</v>
      </c>
      <c r="B45" s="1279" t="s">
        <v>158</v>
      </c>
      <c r="C45" s="1279" t="s">
        <v>159</v>
      </c>
      <c r="D45" s="1279"/>
      <c r="E45" s="2564"/>
      <c r="F45" s="2564"/>
      <c r="G45" s="2563">
        <v>1</v>
      </c>
      <c r="H45" s="1279"/>
      <c r="I45" s="1279"/>
      <c r="J45" s="1279"/>
      <c r="K45" s="1279"/>
      <c r="L45" s="1280"/>
      <c r="M45" s="1281"/>
      <c r="N45" s="1281"/>
      <c r="O45" s="1281"/>
      <c r="P45" s="290"/>
      <c r="Q45" s="288"/>
      <c r="R45" s="289"/>
      <c r="S45" s="1140" t="str">
        <f>INDEX(PT_DIFFERENTIATION_NUM_CS,MATCH(C45,PT_DIFFERENTIATION_CS_ID,0))</f>
        <v>..</v>
      </c>
      <c r="T45" s="246" t="s">
        <v>398</v>
      </c>
      <c r="U45" s="237"/>
      <c r="V45" s="2557"/>
      <c r="W45" s="2558"/>
      <c r="X45" s="2558"/>
      <c r="Y45" s="2558"/>
      <c r="Z45" s="2558"/>
      <c r="AA45" s="2558"/>
      <c r="AB45" s="2558"/>
      <c r="AC45" s="2559"/>
      <c r="AD45" s="2557" t="str">
        <f>INDEX(PT_DIFFERENTIATION_CS,MATCH(C45,PT_DIFFERENTIATION_CS_ID,0))</f>
        <v/>
      </c>
      <c r="AE45" s="2558"/>
      <c r="AF45" s="2558"/>
      <c r="AG45" s="2558"/>
      <c r="AH45" s="2558"/>
      <c r="AI45" s="2558"/>
      <c r="AJ45" s="2558"/>
      <c r="AK45" s="2558"/>
      <c r="AL45" s="2559"/>
      <c r="AM45" s="1174" t="s">
        <v>399</v>
      </c>
      <c r="AO45" s="436"/>
      <c r="AP45" s="436" t="str">
        <f t="shared" si="1"/>
        <v xml:space="preserve">Наименование системы теплоснабжения </v>
      </c>
      <c r="AQ45" s="436"/>
      <c r="AR45" s="436"/>
      <c r="AS45" s="1071">
        <v>23</v>
      </c>
    </row>
    <row r="46" spans="1:45" ht="24" customHeight="1">
      <c r="A46" s="1279" t="s">
        <v>157</v>
      </c>
      <c r="B46" s="1279" t="s">
        <v>158</v>
      </c>
      <c r="C46" s="1279" t="s">
        <v>159</v>
      </c>
      <c r="D46" s="1279" t="s">
        <v>160</v>
      </c>
      <c r="E46" s="2564"/>
      <c r="F46" s="2564"/>
      <c r="G46" s="2564"/>
      <c r="H46" s="2563">
        <v>1</v>
      </c>
      <c r="I46" s="1279"/>
      <c r="J46" s="1279"/>
      <c r="K46" s="1279"/>
      <c r="L46" s="1280"/>
      <c r="M46" s="1281"/>
      <c r="N46" s="1281"/>
      <c r="O46" s="1281"/>
      <c r="P46" s="290"/>
      <c r="Q46" s="288"/>
      <c r="R46" s="289"/>
      <c r="S46" s="1140" t="str">
        <f>INDEX(PT_DIFFERENTIATION_NUM_IST_TE,MATCH(D46,PT_DIFFERENTIATION_IST_TE_ID,0))</f>
        <v>...</v>
      </c>
      <c r="T46" s="247" t="s">
        <v>400</v>
      </c>
      <c r="U46" s="237"/>
      <c r="V46" s="2557"/>
      <c r="W46" s="2558"/>
      <c r="X46" s="2558"/>
      <c r="Y46" s="2558"/>
      <c r="Z46" s="2558"/>
      <c r="AA46" s="2558"/>
      <c r="AB46" s="2558"/>
      <c r="AC46" s="2559"/>
      <c r="AD46" s="2557" t="str">
        <f>INDEX(PT_DIFFERENTIATION_IST_TE,MATCH(D46,PT_DIFFERENTIATION_IST_TE_ID,0))</f>
        <v/>
      </c>
      <c r="AE46" s="2558"/>
      <c r="AF46" s="2558"/>
      <c r="AG46" s="2558"/>
      <c r="AH46" s="2558"/>
      <c r="AI46" s="2558"/>
      <c r="AJ46" s="2558"/>
      <c r="AK46" s="2558"/>
      <c r="AL46" s="2559"/>
      <c r="AM46" s="1174" t="s">
        <v>401</v>
      </c>
      <c r="AO46" s="436"/>
      <c r="AP46" s="436" t="str">
        <f t="shared" si="1"/>
        <v xml:space="preserve">Источник тепловой энергии  </v>
      </c>
      <c r="AQ46" s="436"/>
      <c r="AR46" s="436"/>
      <c r="AS46" s="1071">
        <v>23</v>
      </c>
    </row>
    <row r="47" spans="1:45" ht="49.5" customHeight="1">
      <c r="A47" s="1279" t="s">
        <v>157</v>
      </c>
      <c r="B47" s="1279" t="s">
        <v>158</v>
      </c>
      <c r="C47" s="1279" t="s">
        <v>159</v>
      </c>
      <c r="D47" s="1279" t="s">
        <v>160</v>
      </c>
      <c r="E47" s="2564"/>
      <c r="F47" s="2564"/>
      <c r="G47" s="2564"/>
      <c r="H47" s="2564"/>
      <c r="I47" s="2565" t="str">
        <f>S46&amp;".1"</f>
        <v>....1</v>
      </c>
      <c r="J47" s="1279"/>
      <c r="K47" s="1279"/>
      <c r="L47" s="1280" t="s">
        <v>402</v>
      </c>
      <c r="P47" s="2567">
        <v>1</v>
      </c>
      <c r="Q47" s="1136"/>
      <c r="R47" s="292"/>
      <c r="S47" s="1140" t="str">
        <f>$I47</f>
        <v>....1</v>
      </c>
      <c r="T47" s="222" t="s">
        <v>403</v>
      </c>
      <c r="U47" s="237"/>
      <c r="V47" s="2551"/>
      <c r="W47" s="2552"/>
      <c r="X47" s="2552"/>
      <c r="Y47" s="2552"/>
      <c r="Z47" s="2552"/>
      <c r="AA47" s="2552"/>
      <c r="AB47" s="2552"/>
      <c r="AC47" s="2553"/>
      <c r="AD47" s="2551"/>
      <c r="AE47" s="2552"/>
      <c r="AF47" s="2552"/>
      <c r="AG47" s="2552"/>
      <c r="AH47" s="2552"/>
      <c r="AI47" s="2552"/>
      <c r="AJ47" s="2552"/>
      <c r="AK47" s="2552"/>
      <c r="AL47" s="2553"/>
      <c r="AM47" s="1174" t="s">
        <v>404</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4" customHeight="1">
      <c r="A48" s="1279" t="s">
        <v>157</v>
      </c>
      <c r="B48" s="1279" t="s">
        <v>158</v>
      </c>
      <c r="C48" s="1279" t="s">
        <v>159</v>
      </c>
      <c r="D48" s="1279" t="s">
        <v>160</v>
      </c>
      <c r="E48" s="2564"/>
      <c r="F48" s="2564"/>
      <c r="G48" s="2564"/>
      <c r="H48" s="2564"/>
      <c r="I48" s="2566"/>
      <c r="J48" s="2565" t="str">
        <f>I47&amp;".1"</f>
        <v>....1.1</v>
      </c>
      <c r="K48" s="1279"/>
      <c r="L48" s="1280" t="s">
        <v>405</v>
      </c>
      <c r="P48" s="2567"/>
      <c r="Q48" s="2567">
        <v>1</v>
      </c>
      <c r="R48" s="293"/>
      <c r="S48" s="1140" t="str">
        <f>$J48</f>
        <v>....1.1</v>
      </c>
      <c r="T48" s="223" t="s">
        <v>406</v>
      </c>
      <c r="U48" s="237"/>
      <c r="V48" s="2551"/>
      <c r="W48" s="2552"/>
      <c r="X48" s="2552"/>
      <c r="Y48" s="2552"/>
      <c r="Z48" s="2552"/>
      <c r="AA48" s="2552"/>
      <c r="AB48" s="2552"/>
      <c r="AC48" s="2553"/>
      <c r="AD48" s="2551"/>
      <c r="AE48" s="2552"/>
      <c r="AF48" s="2552"/>
      <c r="AG48" s="2552"/>
      <c r="AH48" s="2552"/>
      <c r="AI48" s="2552"/>
      <c r="AJ48" s="2552"/>
      <c r="AK48" s="2552"/>
      <c r="AL48" s="2553"/>
      <c r="AM48" s="1174" t="s">
        <v>407</v>
      </c>
      <c r="AO48" s="436"/>
      <c r="AP48" s="436" t="str">
        <f t="shared" si="1"/>
        <v>Группа потребителей</v>
      </c>
      <c r="AQ48" s="436"/>
      <c r="AR48" s="436"/>
      <c r="AS48" s="1071">
        <v>23</v>
      </c>
    </row>
    <row r="49" spans="1:45" ht="24" customHeight="1">
      <c r="A49" s="1279" t="s">
        <v>157</v>
      </c>
      <c r="B49" s="1279" t="s">
        <v>158</v>
      </c>
      <c r="C49" s="1279" t="s">
        <v>159</v>
      </c>
      <c r="D49" s="1279" t="s">
        <v>160</v>
      </c>
      <c r="E49" s="2564"/>
      <c r="F49" s="2564"/>
      <c r="G49" s="2564"/>
      <c r="H49" s="2564"/>
      <c r="I49" s="2566"/>
      <c r="J49" s="2566"/>
      <c r="K49" s="2565" t="str">
        <f>J48&amp;".1"</f>
        <v>....1.1.1</v>
      </c>
      <c r="L49" s="1280" t="s">
        <v>408</v>
      </c>
      <c r="P49" s="2567"/>
      <c r="Q49" s="2567"/>
      <c r="R49" s="293">
        <v>1</v>
      </c>
      <c r="S49" s="1140" t="str">
        <f>$K49</f>
        <v>....1.1.1</v>
      </c>
      <c r="T49" s="1263"/>
      <c r="U49" s="237"/>
      <c r="V49" s="687"/>
      <c r="W49" s="262"/>
      <c r="X49" s="687"/>
      <c r="Y49" s="1173"/>
      <c r="Z49" s="2568"/>
      <c r="AA49" s="2445" t="s">
        <v>62</v>
      </c>
      <c r="AB49" s="2568"/>
      <c r="AC49" s="2445" t="s">
        <v>62</v>
      </c>
      <c r="AD49" s="687"/>
      <c r="AE49" s="262"/>
      <c r="AF49" s="687"/>
      <c r="AG49" s="1173"/>
      <c r="AH49" s="2568"/>
      <c r="AI49" s="2445" t="s">
        <v>62</v>
      </c>
      <c r="AJ49" s="2570"/>
      <c r="AK49" s="2445" t="s">
        <v>62</v>
      </c>
      <c r="AL49" s="1264"/>
      <c r="AM49" s="2586" t="s">
        <v>409</v>
      </c>
      <c r="AN49" s="447" t="e">
        <f ca="1">STRCHECKDATE(V50:AL50)</f>
        <v>#NAME?</v>
      </c>
      <c r="AO49" s="436"/>
      <c r="AP49" s="436" t="str">
        <f t="shared" si="1"/>
        <v/>
      </c>
      <c r="AQ49" s="436"/>
      <c r="AR49" s="436"/>
      <c r="AS49" s="1071">
        <v>23</v>
      </c>
    </row>
    <row r="50" spans="1:45" ht="1.1499999999999999" customHeight="1">
      <c r="A50" s="1279" t="s">
        <v>157</v>
      </c>
      <c r="B50" s="1279" t="s">
        <v>158</v>
      </c>
      <c r="C50" s="1279" t="s">
        <v>159</v>
      </c>
      <c r="D50" s="1279" t="s">
        <v>160</v>
      </c>
      <c r="E50" s="2564"/>
      <c r="F50" s="2564"/>
      <c r="G50" s="2564"/>
      <c r="H50" s="2564"/>
      <c r="I50" s="2566"/>
      <c r="J50" s="2566"/>
      <c r="K50" s="2565"/>
      <c r="L50" s="1280"/>
      <c r="P50" s="2567"/>
      <c r="Q50" s="2567"/>
      <c r="R50" s="293"/>
      <c r="S50" s="1139"/>
      <c r="T50" s="237"/>
      <c r="U50" s="237"/>
      <c r="V50" s="262"/>
      <c r="W50" s="262"/>
      <c r="X50" s="262"/>
      <c r="Y50" s="265" t="str">
        <f>Z49&amp;"-"&amp;AB49</f>
        <v>-</v>
      </c>
      <c r="Z50" s="2569"/>
      <c r="AA50" s="2445"/>
      <c r="AB50" s="2569"/>
      <c r="AC50" s="2445"/>
      <c r="AD50" s="262"/>
      <c r="AE50" s="262"/>
      <c r="AF50" s="262"/>
      <c r="AG50" s="265" t="str">
        <f>AH49&amp;"-"&amp;AJ49</f>
        <v>-</v>
      </c>
      <c r="AH50" s="2569"/>
      <c r="AI50" s="2445"/>
      <c r="AJ50" s="2571"/>
      <c r="AK50" s="2445"/>
      <c r="AL50" s="1265"/>
      <c r="AM50" s="2587"/>
      <c r="AO50" s="436"/>
      <c r="AP50" s="436" t="str">
        <f t="shared" si="1"/>
        <v/>
      </c>
      <c r="AQ50" s="436"/>
      <c r="AR50" s="436"/>
      <c r="AS50" s="1071">
        <v>1</v>
      </c>
    </row>
    <row r="51" spans="1:45" ht="11.45" customHeight="1">
      <c r="A51" s="1279" t="s">
        <v>157</v>
      </c>
      <c r="B51" s="1279" t="s">
        <v>158</v>
      </c>
      <c r="C51" s="1279" t="s">
        <v>159</v>
      </c>
      <c r="D51" s="1279" t="s">
        <v>160</v>
      </c>
      <c r="E51" s="2564"/>
      <c r="F51" s="2564"/>
      <c r="G51" s="2564"/>
      <c r="H51" s="2564"/>
      <c r="I51" s="2566"/>
      <c r="J51" s="2565"/>
      <c r="K51" s="1279"/>
      <c r="L51" s="1280"/>
      <c r="P51" s="2567"/>
      <c r="Q51" s="2567"/>
      <c r="R51" s="292"/>
      <c r="S51" s="1194"/>
      <c r="T51" s="225" t="s">
        <v>410</v>
      </c>
      <c r="U51" s="303"/>
      <c r="V51" s="303"/>
      <c r="W51" s="303"/>
      <c r="X51" s="303"/>
      <c r="Y51" s="303"/>
      <c r="Z51" s="303"/>
      <c r="AA51" s="303"/>
      <c r="AB51" s="303"/>
      <c r="AC51" s="303"/>
      <c r="AD51" s="303"/>
      <c r="AE51" s="303"/>
      <c r="AF51" s="303"/>
      <c r="AG51" s="303"/>
      <c r="AH51" s="303"/>
      <c r="AI51" s="303"/>
      <c r="AJ51" s="303"/>
      <c r="AK51" s="303"/>
      <c r="AL51" s="261"/>
      <c r="AM51" s="2588"/>
      <c r="AO51" s="436"/>
      <c r="AP51" s="436" t="str">
        <f t="shared" si="1"/>
        <v>Добавить вид теплоносителя (параметры теплоносителя)</v>
      </c>
      <c r="AQ51" s="436"/>
      <c r="AR51" s="436"/>
      <c r="AS51" s="1071">
        <v>11</v>
      </c>
    </row>
    <row r="52" spans="1:45" ht="11.45" customHeight="1">
      <c r="A52" s="1279" t="s">
        <v>157</v>
      </c>
      <c r="B52" s="1279" t="s">
        <v>158</v>
      </c>
      <c r="C52" s="1279" t="s">
        <v>159</v>
      </c>
      <c r="D52" s="1279" t="s">
        <v>160</v>
      </c>
      <c r="E52" s="2564"/>
      <c r="F52" s="2564"/>
      <c r="G52" s="2564"/>
      <c r="H52" s="2564"/>
      <c r="I52" s="2565"/>
      <c r="J52" s="1279"/>
      <c r="K52" s="1279"/>
      <c r="L52" s="1280"/>
      <c r="P52" s="2567"/>
      <c r="Q52" s="1136"/>
      <c r="R52" s="292"/>
      <c r="S52" s="119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157</v>
      </c>
      <c r="B53" s="1279" t="s">
        <v>158</v>
      </c>
      <c r="C53" s="1279" t="s">
        <v>159</v>
      </c>
      <c r="D53" s="1279" t="s">
        <v>160</v>
      </c>
      <c r="E53" s="2564"/>
      <c r="F53" s="2564"/>
      <c r="G53" s="2564"/>
      <c r="H53" s="2563"/>
      <c r="I53" s="1279"/>
      <c r="J53" s="1279"/>
      <c r="K53" s="1279"/>
      <c r="L53" s="1280"/>
      <c r="M53" s="1281"/>
      <c r="N53" s="1281"/>
      <c r="O53" s="473"/>
      <c r="P53" s="296"/>
      <c r="Q53" s="311"/>
      <c r="R53" s="291"/>
      <c r="S53" s="119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344" customFormat="1" ht="1.1499999999999999" customHeight="1">
      <c r="A54" s="1259" t="s">
        <v>157</v>
      </c>
      <c r="B54" s="1259" t="s">
        <v>158</v>
      </c>
      <c r="C54" s="1259" t="s">
        <v>159</v>
      </c>
      <c r="D54" s="1230"/>
      <c r="E54" s="2564"/>
      <c r="F54" s="2564"/>
      <c r="G54" s="2563"/>
      <c r="H54" s="1230"/>
      <c r="I54" s="1230"/>
      <c r="J54" s="1230"/>
      <c r="K54" s="1230"/>
      <c r="L54" s="1255"/>
      <c r="M54" s="1231"/>
      <c r="N54" s="1231"/>
      <c r="P54" s="1232"/>
      <c r="Q54" s="1233"/>
      <c r="R54" s="1232"/>
      <c r="S54" s="1238"/>
      <c r="T54" s="1241" t="s">
        <v>413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344" customFormat="1" ht="1.1499999999999999" customHeight="1">
      <c r="A55" s="1259" t="s">
        <v>157</v>
      </c>
      <c r="B55" s="1259" t="s">
        <v>158</v>
      </c>
      <c r="C55" s="1230"/>
      <c r="D55" s="1230"/>
      <c r="E55" s="2564"/>
      <c r="F55" s="2563"/>
      <c r="G55" s="1230"/>
      <c r="H55" s="1230"/>
      <c r="I55" s="1230"/>
      <c r="J55" s="1230"/>
      <c r="K55" s="1230"/>
      <c r="L55" s="1255"/>
      <c r="M55" s="1237"/>
      <c r="N55" s="1237"/>
      <c r="P55" s="1232"/>
      <c r="Q55" s="1233"/>
      <c r="R55" s="1232"/>
      <c r="S55" s="1238"/>
      <c r="T55" s="1241" t="s">
        <v>414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344" customFormat="1" ht="1.1499999999999999" customHeight="1">
      <c r="A56" s="1259" t="s">
        <v>157</v>
      </c>
      <c r="B56" s="1259"/>
      <c r="C56" s="1259"/>
      <c r="D56" s="1259"/>
      <c r="E56" s="2563"/>
      <c r="F56" s="1259"/>
      <c r="G56" s="1259"/>
      <c r="H56" s="1259"/>
      <c r="I56" s="1259"/>
      <c r="J56" s="1259"/>
      <c r="K56" s="1259"/>
      <c r="L56" s="1262"/>
      <c r="M56" s="1237"/>
      <c r="N56" s="1237"/>
      <c r="O56" s="454"/>
      <c r="P56" s="316"/>
      <c r="Q56" s="1260"/>
      <c r="R56" s="316"/>
      <c r="S56" s="1238"/>
      <c r="T56" s="1241" t="s">
        <v>415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344"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562"/>
      <c r="U59" s="2562"/>
      <c r="V59" s="2562"/>
      <c r="W59" s="2562"/>
      <c r="X59" s="2562"/>
      <c r="Y59" s="2562"/>
      <c r="Z59" s="2562"/>
      <c r="AA59" s="2562"/>
      <c r="AB59" s="2562"/>
      <c r="AC59" s="2562"/>
      <c r="AD59" s="2562"/>
      <c r="AE59" s="2562"/>
      <c r="AF59" s="2562"/>
      <c r="AG59" s="2562"/>
      <c r="AH59" s="2562"/>
      <c r="AI59" s="2562"/>
      <c r="AJ59" s="2562"/>
      <c r="AK59" s="2562"/>
      <c r="AL59" s="2562"/>
      <c r="AM59" s="2562"/>
      <c r="AS59" s="1071">
        <v>27</v>
      </c>
    </row>
    <row r="60" spans="1:45" ht="67.150000000000006" customHeight="1">
      <c r="O60" s="473"/>
      <c r="P60" s="1219"/>
      <c r="T60" s="2562"/>
      <c r="U60" s="2562"/>
      <c r="V60" s="2562"/>
      <c r="W60" s="2562"/>
      <c r="X60" s="2562"/>
      <c r="Y60" s="2562"/>
      <c r="Z60" s="2562"/>
      <c r="AA60" s="2562"/>
      <c r="AB60" s="2562"/>
      <c r="AC60" s="2562"/>
      <c r="AD60" s="2562"/>
      <c r="AE60" s="2562"/>
      <c r="AF60" s="2562"/>
      <c r="AG60" s="2562"/>
      <c r="AH60" s="2562"/>
      <c r="AI60" s="2562"/>
      <c r="AJ60" s="2562"/>
      <c r="AK60" s="2562"/>
      <c r="AL60" s="2562"/>
      <c r="AM60" s="2562"/>
      <c r="AS60" s="1071">
        <v>64</v>
      </c>
    </row>
    <row r="61" spans="1:45" ht="14.65" customHeight="1">
      <c r="O61" s="473"/>
      <c r="AS61" s="1071">
        <v>14</v>
      </c>
    </row>
    <row r="62" spans="1:45" ht="18.75" customHeight="1">
      <c r="O62" s="473"/>
      <c r="P62" s="1244"/>
      <c r="S62" s="1169"/>
      <c r="T62" s="2562"/>
      <c r="U62" s="2562"/>
      <c r="V62" s="2562"/>
      <c r="W62" s="2562"/>
      <c r="X62" s="2562"/>
      <c r="Y62" s="2562"/>
      <c r="Z62" s="2562"/>
      <c r="AA62" s="2562"/>
      <c r="AB62" s="2562"/>
      <c r="AC62" s="2562"/>
      <c r="AD62" s="2562"/>
      <c r="AE62" s="2562"/>
      <c r="AF62" s="2562"/>
      <c r="AG62" s="2562"/>
      <c r="AH62" s="2562"/>
      <c r="AI62" s="2562"/>
      <c r="AJ62" s="2562"/>
      <c r="AK62" s="2562"/>
      <c r="AL62" s="2562"/>
      <c r="AM62" s="2562"/>
      <c r="AS62" s="1071">
        <v>18</v>
      </c>
    </row>
    <row r="63" spans="1:45" ht="18.75" customHeight="1">
      <c r="O63" s="473"/>
      <c r="P63" s="1244"/>
      <c r="T63" s="2562"/>
      <c r="U63" s="2562"/>
      <c r="V63" s="2562"/>
      <c r="W63" s="2562"/>
      <c r="X63" s="2562"/>
      <c r="Y63" s="2562"/>
      <c r="Z63" s="2562"/>
      <c r="AA63" s="2562"/>
      <c r="AB63" s="2562"/>
      <c r="AC63" s="2562"/>
      <c r="AD63" s="2562"/>
      <c r="AE63" s="2562"/>
      <c r="AF63" s="2562"/>
      <c r="AG63" s="2562"/>
      <c r="AH63" s="2562"/>
      <c r="AI63" s="2562"/>
      <c r="AJ63" s="2562"/>
      <c r="AK63" s="2562"/>
      <c r="AL63" s="2562"/>
      <c r="AM63" s="2562"/>
      <c r="AS63" s="1071">
        <v>18</v>
      </c>
    </row>
    <row r="64" spans="1:45" ht="29.25" customHeight="1">
      <c r="O64" s="473"/>
      <c r="P64" s="1244"/>
      <c r="S64" s="1169"/>
      <c r="T64" s="2562"/>
      <c r="U64" s="2562"/>
      <c r="V64" s="2562"/>
      <c r="W64" s="2562"/>
      <c r="X64" s="2562"/>
      <c r="Y64" s="2562"/>
      <c r="Z64" s="2562"/>
      <c r="AA64" s="2562"/>
      <c r="AB64" s="2562"/>
      <c r="AC64" s="2562"/>
      <c r="AD64" s="2562"/>
      <c r="AE64" s="2562"/>
      <c r="AF64" s="2562"/>
      <c r="AG64" s="2562"/>
      <c r="AH64" s="2562"/>
      <c r="AI64" s="2562"/>
      <c r="AJ64" s="2562"/>
      <c r="AK64" s="2562"/>
      <c r="AL64" s="2562"/>
      <c r="AM64" s="2562"/>
      <c r="AS64" s="1071">
        <v>28</v>
      </c>
    </row>
    <row r="65" spans="1:45" ht="22.5" hidden="1" customHeight="1">
      <c r="A65" s="1076" t="s">
        <v>82</v>
      </c>
      <c r="B65" s="1076">
        <v>0</v>
      </c>
      <c r="C65" s="1076">
        <v>0</v>
      </c>
      <c r="D65" s="1076">
        <v>0</v>
      </c>
      <c r="E65" s="1076">
        <v>0</v>
      </c>
      <c r="F65" s="1076">
        <v>0</v>
      </c>
      <c r="G65" s="1076">
        <v>0</v>
      </c>
      <c r="H65" s="1076">
        <v>0</v>
      </c>
      <c r="I65" s="1076">
        <v>0</v>
      </c>
      <c r="J65" s="1076">
        <v>0</v>
      </c>
      <c r="K65" s="1076">
        <v>0</v>
      </c>
      <c r="L65" s="1245">
        <v>0</v>
      </c>
      <c r="M65" s="1278">
        <v>0</v>
      </c>
      <c r="N65" s="1278">
        <v>0</v>
      </c>
      <c r="O65" s="1278">
        <v>0</v>
      </c>
      <c r="P65" s="1134">
        <v>3</v>
      </c>
      <c r="Q65" s="281">
        <v>3</v>
      </c>
      <c r="R65" s="281">
        <v>3</v>
      </c>
      <c r="S65" s="517">
        <v>12</v>
      </c>
      <c r="T65" s="1071">
        <v>35</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1" style="2360" customWidth="1"/>
    <col min="21" max="21" width="0.140625" style="2360" customWidth="1"/>
    <col min="22" max="22" width="24.7109375" style="2360" hidden="1" customWidth="1"/>
    <col min="23" max="23" width="0.140625" style="2360" hidden="1" customWidth="1"/>
    <col min="24" max="25" width="24.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24.7109375" style="2360" customWidth="1"/>
    <col min="31" max="31" width="0.140625" style="2360" customWidth="1"/>
    <col min="32" max="33" width="24" style="2360" customWidth="1"/>
    <col min="34" max="34" width="11" style="2360" customWidth="1"/>
    <col min="35" max="35" width="3.7109375" style="2360" customWidth="1"/>
    <col min="36" max="36" width="11" style="2360" customWidth="1"/>
    <col min="37" max="37" width="8.5703125" style="2360" hidden="1" customWidth="1"/>
    <col min="38" max="38" width="4" style="2360" customWidth="1"/>
    <col min="39" max="39" width="115" style="2360" customWidth="1"/>
    <col min="40" max="44" width="10" style="2344" customWidth="1"/>
    <col min="45" max="45" width="10.5703125" style="2360" hidden="1"/>
  </cols>
  <sheetData>
    <row r="1" spans="1:45" ht="22.5" hidden="1" customHeight="1">
      <c r="Y1" s="264"/>
      <c r="Z1" s="264"/>
      <c r="AG1" s="264"/>
      <c r="AH1" s="264"/>
      <c r="AS1" s="1071" t="s">
        <v>14</v>
      </c>
    </row>
    <row r="2" spans="1:45" ht="21" hidden="1" customHeight="1">
      <c r="A2" s="1279"/>
      <c r="B2" s="1279"/>
      <c r="C2" s="1279"/>
      <c r="D2" s="1279"/>
      <c r="E2" s="2563">
        <v>1</v>
      </c>
      <c r="F2" s="1279"/>
      <c r="G2" s="1279"/>
      <c r="H2" s="1279"/>
      <c r="I2" s="1279"/>
      <c r="J2" s="1279"/>
      <c r="K2" s="1279"/>
      <c r="L2" s="1280"/>
      <c r="M2" s="1281"/>
      <c r="N2" s="1281"/>
      <c r="O2" s="1281"/>
      <c r="P2" s="297"/>
      <c r="Q2" s="296"/>
      <c r="R2" s="291"/>
      <c r="S2" s="1252" t="e">
        <f>INDEX(PT_DIFFERENTIATION_NUM_NTAR,MATCH(A2,PT_DIFFERENTIATION_NTAR_ID,0))</f>
        <v>#N/A</v>
      </c>
      <c r="T2" s="235" t="s">
        <v>124</v>
      </c>
      <c r="U2" s="237"/>
      <c r="V2" s="2557"/>
      <c r="W2" s="2558"/>
      <c r="X2" s="2558"/>
      <c r="Y2" s="2558"/>
      <c r="Z2" s="2558"/>
      <c r="AA2" s="2558"/>
      <c r="AB2" s="2558"/>
      <c r="AC2" s="2559"/>
      <c r="AD2" s="2557" t="e">
        <f>INDEX(PT_DIFFERENTIATION_NTAR,MATCH(A2,PT_DIFFERENTIATION_NTAR_ID,0))</f>
        <v>#N/A</v>
      </c>
      <c r="AE2" s="2558"/>
      <c r="AF2" s="2558"/>
      <c r="AG2" s="2558"/>
      <c r="AH2" s="2558"/>
      <c r="AI2" s="2558"/>
      <c r="AJ2" s="2558"/>
      <c r="AK2" s="2558"/>
      <c r="AL2" s="2559"/>
      <c r="AM2" s="1174" t="s">
        <v>395</v>
      </c>
      <c r="AO2" s="436"/>
      <c r="AP2" s="436" t="str">
        <f t="shared" ref="AP2:AP15" si="0">IF(T2="","",T2)</f>
        <v>Наименование тарифа</v>
      </c>
      <c r="AQ2" s="436"/>
      <c r="AR2" s="436"/>
      <c r="AS2" s="1071">
        <v>0</v>
      </c>
    </row>
    <row r="3" spans="1:45" ht="21" hidden="1" customHeight="1">
      <c r="A3" s="1279"/>
      <c r="B3" s="1279"/>
      <c r="C3" s="1279"/>
      <c r="D3" s="1279"/>
      <c r="E3" s="2564"/>
      <c r="F3" s="2563">
        <v>1</v>
      </c>
      <c r="G3" s="1279"/>
      <c r="H3" s="1279"/>
      <c r="I3" s="1279"/>
      <c r="J3" s="1279"/>
      <c r="K3" s="1279"/>
      <c r="L3" s="1280"/>
      <c r="M3" s="1281"/>
      <c r="N3" s="1281"/>
      <c r="O3" s="1281"/>
      <c r="P3" s="1248"/>
      <c r="Q3" s="288"/>
      <c r="R3" s="289"/>
      <c r="S3" s="1252" t="e">
        <f>INDEX(PT_DIFFERENTIATION_NUM_TER,MATCH(B3,PT_DIFFERENTIATION_TER_ID,0))</f>
        <v>#N/A</v>
      </c>
      <c r="T3" s="245" t="s">
        <v>396</v>
      </c>
      <c r="U3" s="237"/>
      <c r="V3" s="2557"/>
      <c r="W3" s="2558"/>
      <c r="X3" s="2558"/>
      <c r="Y3" s="2558"/>
      <c r="Z3" s="2558"/>
      <c r="AA3" s="2558"/>
      <c r="AB3" s="2558"/>
      <c r="AC3" s="2559"/>
      <c r="AD3" s="2557" t="e">
        <f>INDEX(PT_DIFFERENTIATION_TER,MATCH(B3,PT_DIFFERENTIATION_TER_ID,0))</f>
        <v>#N/A</v>
      </c>
      <c r="AE3" s="2558"/>
      <c r="AF3" s="2558"/>
      <c r="AG3" s="2558"/>
      <c r="AH3" s="2558"/>
      <c r="AI3" s="2558"/>
      <c r="AJ3" s="2558"/>
      <c r="AK3" s="2558"/>
      <c r="AL3" s="2559"/>
      <c r="AM3" s="1174" t="s">
        <v>397</v>
      </c>
      <c r="AO3" s="436"/>
      <c r="AP3" s="436" t="str">
        <f t="shared" si="0"/>
        <v>Территория действия тарифа</v>
      </c>
      <c r="AQ3" s="436"/>
      <c r="AR3" s="436"/>
      <c r="AS3" s="1071">
        <v>0</v>
      </c>
    </row>
    <row r="4" spans="1:45" ht="23.25" hidden="1" customHeight="1">
      <c r="A4" s="1279"/>
      <c r="B4" s="1279"/>
      <c r="C4" s="1279"/>
      <c r="D4" s="1279"/>
      <c r="E4" s="2564"/>
      <c r="F4" s="2564"/>
      <c r="G4" s="2563">
        <v>1</v>
      </c>
      <c r="H4" s="1279"/>
      <c r="I4" s="1279"/>
      <c r="J4" s="1279"/>
      <c r="K4" s="1279"/>
      <c r="L4" s="1280"/>
      <c r="M4" s="1281"/>
      <c r="N4" s="1281"/>
      <c r="O4" s="1281"/>
      <c r="P4" s="290"/>
      <c r="Q4" s="288"/>
      <c r="R4" s="289"/>
      <c r="S4" s="1252" t="e">
        <f>INDEX(PT_DIFFERENTIATION_NUM_CS,MATCH(C4,PT_DIFFERENTIATION_CS_ID,0))</f>
        <v>#N/A</v>
      </c>
      <c r="T4" s="246" t="s">
        <v>398</v>
      </c>
      <c r="U4" s="237"/>
      <c r="V4" s="2557"/>
      <c r="W4" s="2558"/>
      <c r="X4" s="2558"/>
      <c r="Y4" s="2558"/>
      <c r="Z4" s="2558"/>
      <c r="AA4" s="2558"/>
      <c r="AB4" s="2558"/>
      <c r="AC4" s="2559"/>
      <c r="AD4" s="2557" t="e">
        <f>INDEX(PT_DIFFERENTIATION_CS,MATCH(C4,PT_DIFFERENTIATION_CS_ID,0))</f>
        <v>#N/A</v>
      </c>
      <c r="AE4" s="2558"/>
      <c r="AF4" s="2558"/>
      <c r="AG4" s="2558"/>
      <c r="AH4" s="2558"/>
      <c r="AI4" s="2558"/>
      <c r="AJ4" s="2558"/>
      <c r="AK4" s="2558"/>
      <c r="AL4" s="2559"/>
      <c r="AM4" s="1174" t="s">
        <v>399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564"/>
      <c r="F5" s="2564"/>
      <c r="G5" s="2564"/>
      <c r="H5" s="2563">
        <v>1</v>
      </c>
      <c r="I5" s="1279"/>
      <c r="J5" s="1279"/>
      <c r="K5" s="1279"/>
      <c r="L5" s="1280"/>
      <c r="M5" s="1281"/>
      <c r="N5" s="1281"/>
      <c r="O5" s="1281"/>
      <c r="P5" s="290"/>
      <c r="Q5" s="288"/>
      <c r="R5" s="289"/>
      <c r="S5" s="1252" t="e">
        <f>INDEX(PT_DIFFERENTIATION_NUM_IST_TE,MATCH(D5,PT_DIFFERENTIATION_IST_TE_ID,0))</f>
        <v>#N/A</v>
      </c>
      <c r="T5" s="247" t="s">
        <v>400</v>
      </c>
      <c r="U5" s="237"/>
      <c r="V5" s="2557"/>
      <c r="W5" s="2558"/>
      <c r="X5" s="2558"/>
      <c r="Y5" s="2558"/>
      <c r="Z5" s="2558"/>
      <c r="AA5" s="2558"/>
      <c r="AB5" s="2558"/>
      <c r="AC5" s="2559"/>
      <c r="AD5" s="2557" t="e">
        <f>INDEX(PT_DIFFERENTIATION_IST_TE,MATCH(D5,PT_DIFFERENTIATION_IST_TE_ID,0))</f>
        <v>#N/A</v>
      </c>
      <c r="AE5" s="2558"/>
      <c r="AF5" s="2558"/>
      <c r="AG5" s="2558"/>
      <c r="AH5" s="2558"/>
      <c r="AI5" s="2558"/>
      <c r="AJ5" s="2558"/>
      <c r="AK5" s="2558"/>
      <c r="AL5" s="2559"/>
      <c r="AM5" s="1174" t="s">
        <v>401</v>
      </c>
      <c r="AO5" s="436"/>
      <c r="AP5" s="436" t="str">
        <f t="shared" si="0"/>
        <v xml:space="preserve">Источник тепловой энергии  </v>
      </c>
      <c r="AQ5" s="436"/>
      <c r="AR5" s="436"/>
      <c r="AS5" s="1071">
        <v>0</v>
      </c>
    </row>
    <row r="6" spans="1:45" ht="47.25" hidden="1" customHeight="1">
      <c r="A6" s="1279"/>
      <c r="B6" s="1279"/>
      <c r="C6" s="1279"/>
      <c r="D6" s="1279"/>
      <c r="E6" s="2564"/>
      <c r="F6" s="2564"/>
      <c r="G6" s="2564"/>
      <c r="H6" s="2564"/>
      <c r="I6" s="2565" t="e">
        <f>S5&amp;".1"</f>
        <v>#N/A</v>
      </c>
      <c r="J6" s="1279"/>
      <c r="K6" s="1279"/>
      <c r="L6" s="1280" t="s">
        <v>402</v>
      </c>
      <c r="M6" s="473"/>
      <c r="P6" s="2567">
        <v>1</v>
      </c>
      <c r="Q6" s="1247"/>
      <c r="R6" s="292"/>
      <c r="S6" s="1252" t="e">
        <f>$I6</f>
        <v>#N/A</v>
      </c>
      <c r="T6" s="222" t="s">
        <v>403</v>
      </c>
      <c r="U6" s="237"/>
      <c r="V6" s="2551"/>
      <c r="W6" s="2552"/>
      <c r="X6" s="2552"/>
      <c r="Y6" s="2552"/>
      <c r="Z6" s="2552"/>
      <c r="AA6" s="2552"/>
      <c r="AB6" s="2552"/>
      <c r="AC6" s="2553"/>
      <c r="AD6" s="2551"/>
      <c r="AE6" s="2552"/>
      <c r="AF6" s="2552"/>
      <c r="AG6" s="2552"/>
      <c r="AH6" s="2552"/>
      <c r="AI6" s="2552"/>
      <c r="AJ6" s="2552"/>
      <c r="AK6" s="2552"/>
      <c r="AL6" s="2553"/>
      <c r="AM6" s="1174" t="s">
        <v>404</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564"/>
      <c r="F7" s="2564"/>
      <c r="G7" s="2564"/>
      <c r="H7" s="2564"/>
      <c r="I7" s="2566"/>
      <c r="J7" s="2565" t="e">
        <f>I6&amp;".1"</f>
        <v>#N/A</v>
      </c>
      <c r="K7" s="1279"/>
      <c r="L7" s="1280" t="s">
        <v>405</v>
      </c>
      <c r="M7" s="473"/>
      <c r="N7" s="1282"/>
      <c r="P7" s="2567"/>
      <c r="Q7" s="2567">
        <v>1</v>
      </c>
      <c r="R7" s="293"/>
      <c r="S7" s="1252" t="e">
        <f>$J7</f>
        <v>#N/A</v>
      </c>
      <c r="T7" s="223" t="s">
        <v>406</v>
      </c>
      <c r="U7" s="237"/>
      <c r="V7" s="2551"/>
      <c r="W7" s="2552"/>
      <c r="X7" s="2552"/>
      <c r="Y7" s="2552"/>
      <c r="Z7" s="2552"/>
      <c r="AA7" s="2552"/>
      <c r="AB7" s="2552"/>
      <c r="AC7" s="2553"/>
      <c r="AD7" s="2551"/>
      <c r="AE7" s="2552"/>
      <c r="AF7" s="2552"/>
      <c r="AG7" s="2552"/>
      <c r="AH7" s="2552"/>
      <c r="AI7" s="2552"/>
      <c r="AJ7" s="2552"/>
      <c r="AK7" s="2552"/>
      <c r="AL7" s="2553"/>
      <c r="AM7" s="1174" t="s">
        <v>407</v>
      </c>
      <c r="AO7" s="436"/>
      <c r="AP7" s="436" t="str">
        <f t="shared" si="0"/>
        <v>Группа потребителей</v>
      </c>
      <c r="AQ7" s="436"/>
      <c r="AR7" s="436"/>
      <c r="AS7" s="1071">
        <v>0</v>
      </c>
    </row>
    <row r="8" spans="1:45" ht="21" hidden="1" customHeight="1">
      <c r="A8" s="1279"/>
      <c r="B8" s="1279"/>
      <c r="C8" s="1279"/>
      <c r="D8" s="1279"/>
      <c r="E8" s="2564"/>
      <c r="F8" s="2564"/>
      <c r="G8" s="2564"/>
      <c r="H8" s="2564"/>
      <c r="I8" s="2566"/>
      <c r="J8" s="2566"/>
      <c r="K8" s="2565" t="e">
        <f>J7&amp;".1"</f>
        <v>#N/A</v>
      </c>
      <c r="L8" s="1280" t="s">
        <v>408</v>
      </c>
      <c r="M8" s="473"/>
      <c r="N8" s="1282"/>
      <c r="O8" s="1282"/>
      <c r="P8" s="2567"/>
      <c r="Q8" s="2567"/>
      <c r="R8" s="293">
        <v>1</v>
      </c>
      <c r="S8" s="1252" t="e">
        <f>$K8</f>
        <v>#N/A</v>
      </c>
      <c r="T8" s="1263"/>
      <c r="U8" s="237"/>
      <c r="V8" s="687"/>
      <c r="W8" s="262"/>
      <c r="X8" s="687"/>
      <c r="Y8" s="1173"/>
      <c r="Z8" s="2568"/>
      <c r="AA8" s="2445" t="s">
        <v>62</v>
      </c>
      <c r="AB8" s="2568"/>
      <c r="AC8" s="2445" t="s">
        <v>62</v>
      </c>
      <c r="AD8" s="687"/>
      <c r="AE8" s="262"/>
      <c r="AF8" s="687"/>
      <c r="AG8" s="1173"/>
      <c r="AH8" s="2568"/>
      <c r="AI8" s="2445" t="s">
        <v>62</v>
      </c>
      <c r="AJ8" s="2568"/>
      <c r="AK8" s="2445" t="s">
        <v>62</v>
      </c>
      <c r="AL8" s="262"/>
      <c r="AM8" s="2586" t="s">
        <v>409</v>
      </c>
      <c r="AN8" s="447" t="e">
        <f ca="1">STRCHECKDATE(V9:AL9)</f>
        <v>#NAME?</v>
      </c>
      <c r="AO8" s="436"/>
      <c r="AP8" s="436" t="str">
        <f t="shared" si="0"/>
        <v/>
      </c>
      <c r="AQ8" s="436"/>
      <c r="AR8" s="436"/>
      <c r="AS8" s="1071">
        <v>0</v>
      </c>
    </row>
    <row r="9" spans="1:45" ht="0.75" hidden="1" customHeight="1">
      <c r="A9" s="1279"/>
      <c r="B9" s="1279"/>
      <c r="C9" s="1279"/>
      <c r="D9" s="1279"/>
      <c r="E9" s="2564"/>
      <c r="F9" s="2564"/>
      <c r="G9" s="2564"/>
      <c r="H9" s="2564"/>
      <c r="I9" s="2566"/>
      <c r="J9" s="2566"/>
      <c r="K9" s="2565"/>
      <c r="L9" s="1280"/>
      <c r="M9" s="473"/>
      <c r="N9" s="1282"/>
      <c r="O9" s="1282"/>
      <c r="P9" s="2567"/>
      <c r="Q9" s="2567"/>
      <c r="R9" s="293"/>
      <c r="S9" s="1258"/>
      <c r="T9" s="237"/>
      <c r="U9" s="237"/>
      <c r="V9" s="262"/>
      <c r="W9" s="262"/>
      <c r="X9" s="262"/>
      <c r="Y9" s="265" t="str">
        <f>Z8&amp;"-"&amp;AB8</f>
        <v>-</v>
      </c>
      <c r="Z9" s="2569"/>
      <c r="AA9" s="2445"/>
      <c r="AB9" s="2569"/>
      <c r="AC9" s="2445"/>
      <c r="AD9" s="262"/>
      <c r="AE9" s="262"/>
      <c r="AF9" s="262"/>
      <c r="AG9" s="265" t="str">
        <f>AH8&amp;"-"&amp;AJ8</f>
        <v>-</v>
      </c>
      <c r="AH9" s="2569"/>
      <c r="AI9" s="2445"/>
      <c r="AJ9" s="2569"/>
      <c r="AK9" s="2445"/>
      <c r="AL9" s="262"/>
      <c r="AM9" s="2587"/>
      <c r="AO9" s="436"/>
      <c r="AP9" s="436" t="str">
        <f t="shared" si="0"/>
        <v/>
      </c>
      <c r="AQ9" s="436"/>
      <c r="AR9" s="436"/>
      <c r="AS9" s="1071">
        <v>0</v>
      </c>
    </row>
    <row r="10" spans="1:45" ht="15" hidden="1" customHeight="1">
      <c r="A10" s="1279"/>
      <c r="B10" s="1279"/>
      <c r="C10" s="1279"/>
      <c r="D10" s="1279"/>
      <c r="E10" s="2564"/>
      <c r="F10" s="2564"/>
      <c r="G10" s="2564"/>
      <c r="H10" s="2564"/>
      <c r="I10" s="2566"/>
      <c r="J10" s="2565"/>
      <c r="K10" s="1279"/>
      <c r="L10" s="1280"/>
      <c r="M10" s="473"/>
      <c r="N10" s="1282"/>
      <c r="P10" s="2567"/>
      <c r="Q10" s="2567"/>
      <c r="R10" s="292"/>
      <c r="S10" s="1194"/>
      <c r="T10" s="225" t="s">
        <v>410</v>
      </c>
      <c r="U10" s="303"/>
      <c r="V10" s="303"/>
      <c r="W10" s="303"/>
      <c r="X10" s="303"/>
      <c r="Y10" s="303"/>
      <c r="Z10" s="303"/>
      <c r="AA10" s="303"/>
      <c r="AB10" s="303"/>
      <c r="AC10" s="303"/>
      <c r="AD10" s="303"/>
      <c r="AE10" s="303"/>
      <c r="AF10" s="303"/>
      <c r="AG10" s="303"/>
      <c r="AH10" s="303"/>
      <c r="AI10" s="303"/>
      <c r="AJ10" s="303"/>
      <c r="AK10" s="303"/>
      <c r="AL10" s="261"/>
      <c r="AM10" s="2588"/>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564"/>
      <c r="F11" s="2564"/>
      <c r="G11" s="2564"/>
      <c r="H11" s="2564"/>
      <c r="I11" s="2565"/>
      <c r="J11" s="1279"/>
      <c r="K11" s="1279"/>
      <c r="L11" s="1280"/>
      <c r="M11" s="473"/>
      <c r="P11" s="2567"/>
      <c r="Q11" s="1247"/>
      <c r="R11" s="292"/>
      <c r="S11" s="119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564"/>
      <c r="F12" s="2564"/>
      <c r="G12" s="2564"/>
      <c r="H12" s="2563"/>
      <c r="I12" s="1279"/>
      <c r="J12" s="1279"/>
      <c r="K12" s="1279"/>
      <c r="L12" s="1280"/>
      <c r="M12" s="1281"/>
      <c r="N12" s="1281"/>
      <c r="O12" s="473"/>
      <c r="P12" s="296"/>
      <c r="Q12" s="311"/>
      <c r="R12" s="291"/>
      <c r="S12" s="119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344" customFormat="1" ht="0.75" hidden="1" customHeight="1">
      <c r="A13" s="1230"/>
      <c r="B13" s="1230"/>
      <c r="C13" s="1230"/>
      <c r="D13" s="1230"/>
      <c r="E13" s="2564"/>
      <c r="F13" s="2564"/>
      <c r="G13" s="2563"/>
      <c r="H13" s="1230"/>
      <c r="I13" s="1230"/>
      <c r="J13" s="1230"/>
      <c r="K13" s="1230"/>
      <c r="L13" s="1255"/>
      <c r="M13" s="1231"/>
      <c r="N13" s="1231"/>
      <c r="P13" s="1232"/>
      <c r="Q13" s="1233"/>
      <c r="R13" s="1232"/>
      <c r="S13" s="1234"/>
      <c r="T13" s="1235" t="s">
        <v>413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344" customFormat="1" ht="0.75" hidden="1" customHeight="1">
      <c r="A14" s="1230"/>
      <c r="B14" s="1230"/>
      <c r="C14" s="1230"/>
      <c r="D14" s="1230"/>
      <c r="E14" s="2564"/>
      <c r="F14" s="2563"/>
      <c r="G14" s="1230"/>
      <c r="H14" s="1230"/>
      <c r="I14" s="1230"/>
      <c r="J14" s="1230"/>
      <c r="K14" s="1230"/>
      <c r="L14" s="1255"/>
      <c r="M14" s="1237"/>
      <c r="N14" s="1237"/>
      <c r="P14" s="1232"/>
      <c r="Q14" s="1233"/>
      <c r="R14" s="1232"/>
      <c r="S14" s="1238"/>
      <c r="T14" s="1239" t="s">
        <v>414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344" customFormat="1" ht="0.75" hidden="1" customHeight="1">
      <c r="A15" s="1230"/>
      <c r="B15" s="1230"/>
      <c r="C15" s="1230"/>
      <c r="D15" s="1230"/>
      <c r="E15" s="2563"/>
      <c r="F15" s="1230"/>
      <c r="G15" s="1230"/>
      <c r="H15" s="1230"/>
      <c r="I15" s="1230"/>
      <c r="J15" s="1230"/>
      <c r="K15" s="1230"/>
      <c r="L15" s="1255"/>
      <c r="M15" s="1237"/>
      <c r="N15" s="1237"/>
      <c r="P15" s="1232"/>
      <c r="Q15" s="1233"/>
      <c r="R15" s="1232"/>
      <c r="S15" s="1238"/>
      <c r="T15" s="1241" t="s">
        <v>415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61"/>
      <c r="AI17" s="2560" t="s">
        <v>62</v>
      </c>
      <c r="AJ17" s="2561"/>
      <c r="AK17" s="2560" t="s">
        <v>62</v>
      </c>
      <c r="AS17" s="1071">
        <v>0</v>
      </c>
    </row>
    <row r="18" spans="1:45" ht="14.25" hidden="1" customHeight="1">
      <c r="AD18" s="1276"/>
      <c r="AE18" s="1276"/>
      <c r="AF18" s="1276"/>
      <c r="AG18" s="265" t="str">
        <f>AH17&amp;"-"&amp;AJ17</f>
        <v>-</v>
      </c>
      <c r="AH18" s="2560"/>
      <c r="AI18" s="2560"/>
      <c r="AJ18" s="2560"/>
      <c r="AK18" s="2560"/>
      <c r="AS18" s="1071">
        <v>0</v>
      </c>
    </row>
    <row r="19" spans="1:45" ht="14.25" hidden="1" customHeight="1">
      <c r="AK19" s="264"/>
      <c r="AS19" s="1071">
        <v>0</v>
      </c>
    </row>
    <row r="20" spans="1:45" s="2357" customFormat="1" ht="22.5" hidden="1" customHeight="1">
      <c r="L20" s="1245"/>
      <c r="M20" s="1278"/>
      <c r="N20" s="1278"/>
      <c r="O20" s="1283" t="s">
        <v>416</v>
      </c>
      <c r="P20" s="1278"/>
      <c r="Q20" s="1287"/>
      <c r="R20" s="1287"/>
      <c r="S20" s="665"/>
      <c r="Z20" s="1283"/>
      <c r="AB20" s="1283"/>
      <c r="AC20" s="1282"/>
      <c r="AH20" s="1283"/>
      <c r="AJ20" s="1283"/>
      <c r="AK20" s="1282"/>
      <c r="AN20" s="447"/>
      <c r="AO20" s="447"/>
      <c r="AP20" s="447"/>
      <c r="AQ20" s="447"/>
      <c r="AR20" s="447"/>
      <c r="AS20" s="1076">
        <v>0</v>
      </c>
    </row>
    <row r="21" spans="1:45" s="235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57" customFormat="1" ht="14.25" hidden="1" customHeight="1">
      <c r="L22" s="1245"/>
      <c r="M22" s="1278"/>
      <c r="N22" s="1278"/>
      <c r="O22" s="1280" t="s">
        <v>417</v>
      </c>
      <c r="P22" s="1278"/>
      <c r="Q22" s="1287"/>
      <c r="R22" s="1287"/>
      <c r="S22" s="665"/>
      <c r="T22" s="1076" t="s">
        <v>418</v>
      </c>
      <c r="AA22" s="123" t="s">
        <v>419</v>
      </c>
      <c r="AC22" s="123" t="s">
        <v>420</v>
      </c>
      <c r="AD22" s="1076" t="s">
        <v>418</v>
      </c>
      <c r="AI22" s="123" t="s">
        <v>421</v>
      </c>
      <c r="AK22" s="123" t="s">
        <v>420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14.65" customHeight="1">
      <c r="Q26" s="312"/>
      <c r="R26" s="312"/>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9"/>
      <c r="AS26" s="1071">
        <v>14</v>
      </c>
    </row>
    <row r="27" spans="1:45" ht="14.65" customHeight="1">
      <c r="Q27" s="312"/>
      <c r="R27" s="312"/>
      <c r="S27" s="2516" t="str">
        <f>IF(org=0,"Не определено",org)</f>
        <v>ООО "Пятигорсктеплосервис"</v>
      </c>
      <c r="T27" s="2516"/>
      <c r="U27" s="2516"/>
      <c r="V27" s="2516"/>
      <c r="W27" s="2516"/>
      <c r="X27" s="2516"/>
      <c r="Y27" s="2516"/>
      <c r="Z27" s="2516"/>
      <c r="AA27" s="2516"/>
      <c r="AB27" s="2516"/>
      <c r="AC27" s="2516"/>
      <c r="AD27" s="2516"/>
      <c r="AE27" s="2516"/>
      <c r="AF27" s="2516"/>
      <c r="AG27" s="2516"/>
      <c r="AH27" s="2516"/>
      <c r="AI27" s="2516"/>
      <c r="AJ27" s="2516"/>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380" customFormat="1" ht="25.5" hidden="1" customHeight="1">
      <c r="A29" s="1284"/>
      <c r="B29" s="1284"/>
      <c r="C29" s="1284"/>
      <c r="D29" s="1284"/>
      <c r="E29" s="1284"/>
      <c r="F29" s="1284"/>
      <c r="G29" s="1284"/>
      <c r="H29" s="1284"/>
      <c r="I29" s="1284"/>
      <c r="J29" s="1284"/>
      <c r="K29" s="1284"/>
      <c r="L29" s="1285"/>
      <c r="M29" s="1284"/>
      <c r="N29" s="1284"/>
      <c r="O29" s="1284"/>
      <c r="S29" s="2554" t="s">
        <v>41</v>
      </c>
      <c r="T29" s="2554"/>
      <c r="U29" s="1288"/>
      <c r="V29" s="2556" t="str">
        <f>IF(TITLE_NAME_OR_PR_CHANGE="",IF(TITLE_NAME_OR_PR="","",TITLE_NAME_OR_PR),TITLE_NAME_OR_PR_CHANGE)</f>
        <v/>
      </c>
      <c r="W29" s="2556"/>
      <c r="X29" s="2556"/>
      <c r="Y29" s="2556"/>
      <c r="Z29" s="2556"/>
      <c r="AA29" s="2556"/>
      <c r="AB29" s="2556"/>
      <c r="AC29" s="263"/>
      <c r="AD29" s="2556" t="str">
        <f>IF(TITLE_NAME_OR_PR_CHANGE="",IF(TITLE_NAME_OR_PR="","",TITLE_NAME_OR_PR),TITLE_NAME_OR_PR_CHANGE)</f>
        <v/>
      </c>
      <c r="AE29" s="2556"/>
      <c r="AF29" s="2556"/>
      <c r="AG29" s="2556"/>
      <c r="AH29" s="2556"/>
      <c r="AI29" s="2556"/>
      <c r="AJ29" s="2556"/>
      <c r="AK29" s="263"/>
      <c r="AL29" s="263"/>
      <c r="AM29" s="217"/>
      <c r="AN29" s="304"/>
      <c r="AO29" s="304"/>
      <c r="AP29" s="304"/>
      <c r="AQ29" s="304"/>
      <c r="AR29" s="304"/>
      <c r="AS29" s="354">
        <v>0</v>
      </c>
    </row>
    <row r="30" spans="1:45" s="2380" customFormat="1" ht="18.75" hidden="1" customHeight="1">
      <c r="A30" s="1284"/>
      <c r="B30" s="1284"/>
      <c r="C30" s="1284"/>
      <c r="D30" s="1284"/>
      <c r="E30" s="1284"/>
      <c r="F30" s="1284"/>
      <c r="G30" s="1284"/>
      <c r="H30" s="1284"/>
      <c r="I30" s="1284"/>
      <c r="J30" s="1284"/>
      <c r="K30" s="1284"/>
      <c r="L30" s="1285"/>
      <c r="M30" s="1284"/>
      <c r="N30" s="1284"/>
      <c r="O30" s="1284"/>
      <c r="S30" s="2554" t="s">
        <v>422</v>
      </c>
      <c r="T30" s="2554"/>
      <c r="U30" s="1288"/>
      <c r="V30" s="2555" t="str">
        <f>IF(TITLE_DATE_PR_CHANGE="",IF(TITLE_DATE_PR="","",TITLE_DATE_PR),TITLE_DATE_PR_CHANGE)</f>
        <v/>
      </c>
      <c r="W30" s="2555"/>
      <c r="X30" s="2555"/>
      <c r="Y30" s="2555"/>
      <c r="Z30" s="2555"/>
      <c r="AA30" s="2555"/>
      <c r="AB30" s="2555"/>
      <c r="AC30" s="263"/>
      <c r="AD30" s="2555" t="str">
        <f>IF(TITLE_DATE_PR_CHANGE="",IF(TITLE_DATE_PR="","",TITLE_DATE_PR),TITLE_DATE_PR_CHANGE)</f>
        <v/>
      </c>
      <c r="AE30" s="2555"/>
      <c r="AF30" s="2555"/>
      <c r="AG30" s="2555"/>
      <c r="AH30" s="2555"/>
      <c r="AI30" s="2555"/>
      <c r="AJ30" s="2555"/>
      <c r="AK30" s="263"/>
      <c r="AL30" s="263"/>
      <c r="AM30" s="217"/>
      <c r="AN30" s="304"/>
      <c r="AO30" s="304"/>
      <c r="AP30" s="304"/>
      <c r="AQ30" s="304"/>
      <c r="AR30" s="304"/>
      <c r="AS30" s="354">
        <v>0</v>
      </c>
    </row>
    <row r="31" spans="1:45" s="2380" customFormat="1" ht="18.75" hidden="1" customHeight="1">
      <c r="A31" s="1284"/>
      <c r="B31" s="1284"/>
      <c r="C31" s="1284"/>
      <c r="D31" s="1284"/>
      <c r="E31" s="1284"/>
      <c r="F31" s="1284"/>
      <c r="G31" s="1284"/>
      <c r="H31" s="1284"/>
      <c r="I31" s="1284"/>
      <c r="J31" s="1284"/>
      <c r="K31" s="1284"/>
      <c r="L31" s="1285"/>
      <c r="M31" s="1284"/>
      <c r="N31" s="1284"/>
      <c r="O31" s="1284"/>
      <c r="S31" s="2554" t="s">
        <v>423</v>
      </c>
      <c r="T31" s="2554"/>
      <c r="U31" s="1288"/>
      <c r="V31" s="2556" t="str">
        <f>IF(TITLE_NUMBER_PR_CHANGE="",IF(TITLE_NUMBER_PR="","",TITLE_NUMBER_PR),TITLE_NUMBER_PR_CHANGE)</f>
        <v/>
      </c>
      <c r="W31" s="2556"/>
      <c r="X31" s="2556"/>
      <c r="Y31" s="2556"/>
      <c r="Z31" s="2556"/>
      <c r="AA31" s="2556"/>
      <c r="AB31" s="2556"/>
      <c r="AC31" s="263"/>
      <c r="AD31" s="2556" t="str">
        <f>IF(TITLE_NUMBER_PR_CHANGE="",IF(TITLE_NUMBER_PR="","",TITLE_NUMBER_PR),TITLE_NUMBER_PR_CHANGE)</f>
        <v/>
      </c>
      <c r="AE31" s="2556"/>
      <c r="AF31" s="2556"/>
      <c r="AG31" s="2556"/>
      <c r="AH31" s="2556"/>
      <c r="AI31" s="2556"/>
      <c r="AJ31" s="2556"/>
      <c r="AK31" s="263"/>
      <c r="AL31" s="263"/>
      <c r="AM31" s="217"/>
      <c r="AN31" s="304"/>
      <c r="AO31" s="304"/>
      <c r="AP31" s="304"/>
      <c r="AQ31" s="304"/>
      <c r="AR31" s="304"/>
      <c r="AS31" s="354">
        <v>0</v>
      </c>
    </row>
    <row r="32" spans="1:45" s="2380" customFormat="1" ht="18.75" hidden="1" customHeight="1">
      <c r="A32" s="1284"/>
      <c r="B32" s="1284"/>
      <c r="C32" s="1284"/>
      <c r="D32" s="1284"/>
      <c r="E32" s="1284"/>
      <c r="F32" s="1284"/>
      <c r="G32" s="1284"/>
      <c r="H32" s="1284"/>
      <c r="I32" s="1284"/>
      <c r="J32" s="1284"/>
      <c r="K32" s="1284"/>
      <c r="L32" s="1285"/>
      <c r="M32" s="1284"/>
      <c r="N32" s="1284"/>
      <c r="O32" s="1284"/>
      <c r="S32" s="2554" t="s">
        <v>42</v>
      </c>
      <c r="T32" s="2554"/>
      <c r="U32" s="1288"/>
      <c r="V32" s="2556" t="str">
        <f>IF(TITLE_IST_PUB_CHANGE="",IF(TITLE_IST_PUB="","",TITLE_IST_PUB),TITLE_IST_PUB_CHANGE)</f>
        <v/>
      </c>
      <c r="W32" s="2556"/>
      <c r="X32" s="2556"/>
      <c r="Y32" s="2556"/>
      <c r="Z32" s="2556"/>
      <c r="AA32" s="2556"/>
      <c r="AB32" s="2556"/>
      <c r="AC32" s="263"/>
      <c r="AD32" s="2556" t="str">
        <f>IF(TITLE_IST_PUB_CHANGE="",IF(TITLE_IST_PUB="","",TITLE_IST_PUB),TITLE_IST_PUB_CHANGE)</f>
        <v/>
      </c>
      <c r="AE32" s="2556"/>
      <c r="AF32" s="2556"/>
      <c r="AG32" s="2556"/>
      <c r="AH32" s="2556"/>
      <c r="AI32" s="2556"/>
      <c r="AJ32" s="2556"/>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380" customFormat="1" ht="18.75" hidden="1" customHeight="1">
      <c r="A34" s="1284"/>
      <c r="B34" s="1284"/>
      <c r="C34" s="1284"/>
      <c r="D34" s="1284"/>
      <c r="E34" s="1284"/>
      <c r="F34" s="1284"/>
      <c r="G34" s="1284"/>
      <c r="H34" s="1284"/>
      <c r="I34" s="1284"/>
      <c r="J34" s="1284"/>
      <c r="K34" s="1284"/>
      <c r="L34" s="1285"/>
      <c r="M34" s="1284"/>
      <c r="N34" s="1284"/>
      <c r="O34" s="1284"/>
      <c r="S34" s="2554" t="s">
        <v>424</v>
      </c>
      <c r="T34" s="2554"/>
      <c r="U34" s="1288"/>
      <c r="V34" s="2555" t="str">
        <f>IF(TITLE_DATE_PR_CHANGE="",IF(TITLE_DATE_PR="","",TITLE_DATE_PR),TITLE_DATE_PR_CHANGE)</f>
        <v/>
      </c>
      <c r="W34" s="2555"/>
      <c r="X34" s="2555"/>
      <c r="Y34" s="2555"/>
      <c r="Z34" s="2555"/>
      <c r="AA34" s="2555"/>
      <c r="AB34" s="2555"/>
      <c r="AC34" s="263"/>
      <c r="AD34" s="2555" t="str">
        <f>IF(TITLE_DATE_PR_CHANGE="",IF(TITLE_DATE_PR="","",TITLE_DATE_PR),TITLE_DATE_PR_CHANGE)</f>
        <v/>
      </c>
      <c r="AE34" s="2555"/>
      <c r="AF34" s="2555"/>
      <c r="AG34" s="2555"/>
      <c r="AH34" s="2555"/>
      <c r="AI34" s="2555"/>
      <c r="AJ34" s="2555"/>
      <c r="AK34" s="263"/>
      <c r="AL34" s="263"/>
      <c r="AM34" s="217"/>
      <c r="AN34" s="304"/>
      <c r="AO34" s="304"/>
      <c r="AP34" s="304"/>
      <c r="AQ34" s="304"/>
      <c r="AR34" s="304"/>
      <c r="AS34" s="354">
        <v>0</v>
      </c>
    </row>
    <row r="35" spans="1:45" s="2380" customFormat="1" ht="18.75" hidden="1" customHeight="1">
      <c r="A35" s="1284"/>
      <c r="B35" s="1284"/>
      <c r="C35" s="1284"/>
      <c r="D35" s="1284"/>
      <c r="E35" s="1284"/>
      <c r="F35" s="1284"/>
      <c r="G35" s="1284"/>
      <c r="H35" s="1284"/>
      <c r="I35" s="1284"/>
      <c r="J35" s="1284"/>
      <c r="K35" s="1284"/>
      <c r="L35" s="1285"/>
      <c r="M35" s="1284"/>
      <c r="N35" s="1284"/>
      <c r="O35" s="1284"/>
      <c r="S35" s="2554" t="s">
        <v>425</v>
      </c>
      <c r="T35" s="2554"/>
      <c r="U35" s="1288"/>
      <c r="V35" s="2556" t="str">
        <f>IF(TITLE_NUMBER_PR_CHANGE="",IF(TITLE_NUMBER_PR="","",TITLE_NUMBER_PR),TITLE_NUMBER_PR_CHANGE)</f>
        <v/>
      </c>
      <c r="W35" s="2556"/>
      <c r="X35" s="2556"/>
      <c r="Y35" s="2556"/>
      <c r="Z35" s="2556"/>
      <c r="AA35" s="2556"/>
      <c r="AB35" s="2556"/>
      <c r="AC35" s="263"/>
      <c r="AD35" s="2556" t="str">
        <f>IF(TITLE_NUMBER_PR_CHANGE="",IF(TITLE_NUMBER_PR="","",TITLE_NUMBER_PR),TITLE_NUMBER_PR_CHANGE)</f>
        <v/>
      </c>
      <c r="AE35" s="2556"/>
      <c r="AF35" s="2556"/>
      <c r="AG35" s="2556"/>
      <c r="AH35" s="2556"/>
      <c r="AI35" s="2556"/>
      <c r="AJ35" s="2556"/>
      <c r="AK35" s="263"/>
      <c r="AL35" s="263"/>
      <c r="AM35" s="217"/>
      <c r="AN35" s="304"/>
      <c r="AO35" s="304"/>
      <c r="AP35" s="304"/>
      <c r="AQ35" s="304"/>
      <c r="AR35" s="304"/>
      <c r="AS35" s="354">
        <v>0</v>
      </c>
    </row>
    <row r="36" spans="1:45" s="238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1"/>
      <c r="T37" s="299"/>
      <c r="U37" s="1160"/>
      <c r="V37" s="2575"/>
      <c r="W37" s="2575"/>
      <c r="X37" s="2575"/>
      <c r="Y37" s="2575"/>
      <c r="Z37" s="2575"/>
      <c r="AA37" s="2575"/>
      <c r="AB37" s="2575"/>
      <c r="AC37" s="2575"/>
      <c r="AD37" s="2575"/>
      <c r="AE37" s="2575"/>
      <c r="AF37" s="2575"/>
      <c r="AG37" s="2575"/>
      <c r="AH37" s="2575"/>
      <c r="AI37" s="2575"/>
      <c r="AJ37" s="2575"/>
      <c r="AK37" s="2575"/>
      <c r="AS37" s="1071">
        <v>14</v>
      </c>
    </row>
    <row r="38" spans="1:45" ht="14.65" customHeight="1">
      <c r="Q38" s="312"/>
      <c r="R38" s="312"/>
      <c r="S38" s="2435" t="s">
        <v>299</v>
      </c>
      <c r="T38" s="2435"/>
      <c r="U38" s="2435"/>
      <c r="V38" s="2435"/>
      <c r="W38" s="2435"/>
      <c r="X38" s="2435"/>
      <c r="Y38" s="2435"/>
      <c r="Z38" s="2435"/>
      <c r="AA38" s="2435"/>
      <c r="AB38" s="2435"/>
      <c r="AC38" s="2435"/>
      <c r="AD38" s="2435"/>
      <c r="AE38" s="2435"/>
      <c r="AF38" s="2435"/>
      <c r="AG38" s="2435"/>
      <c r="AH38" s="2435"/>
      <c r="AI38" s="2435"/>
      <c r="AJ38" s="2435"/>
      <c r="AK38" s="2435"/>
      <c r="AL38" s="2435"/>
      <c r="AM38" s="2435" t="s">
        <v>300</v>
      </c>
      <c r="AS38" s="1071">
        <v>14</v>
      </c>
    </row>
    <row r="39" spans="1:45" ht="14.65" customHeight="1">
      <c r="Q39" s="312"/>
      <c r="R39" s="312"/>
      <c r="S39" s="2576" t="s">
        <v>88</v>
      </c>
      <c r="T39" s="2524" t="s">
        <v>427</v>
      </c>
      <c r="U39" s="238"/>
      <c r="V39" s="2577" t="s">
        <v>428</v>
      </c>
      <c r="W39" s="2578"/>
      <c r="X39" s="2578"/>
      <c r="Y39" s="2578"/>
      <c r="Z39" s="2578"/>
      <c r="AA39" s="2578"/>
      <c r="AB39" s="2579"/>
      <c r="AC39" s="2580" t="s">
        <v>429</v>
      </c>
      <c r="AD39" s="2577" t="s">
        <v>428</v>
      </c>
      <c r="AE39" s="2578"/>
      <c r="AF39" s="2578"/>
      <c r="AG39" s="2578"/>
      <c r="AH39" s="2578"/>
      <c r="AI39" s="2578"/>
      <c r="AJ39" s="2579"/>
      <c r="AK39" s="2580" t="s">
        <v>430</v>
      </c>
      <c r="AL39" s="2583" t="s">
        <v>431</v>
      </c>
      <c r="AM39" s="2435"/>
      <c r="AS39" s="1071">
        <v>14</v>
      </c>
    </row>
    <row r="40" spans="1:45" ht="35.65" customHeight="1">
      <c r="Q40" s="312"/>
      <c r="R40" s="312"/>
      <c r="S40" s="2576"/>
      <c r="T40" s="2524"/>
      <c r="U40" s="953"/>
      <c r="V40" s="2494" t="s">
        <v>432</v>
      </c>
      <c r="W40" s="2572" t="s">
        <v>433</v>
      </c>
      <c r="X40" s="2417" t="s">
        <v>434</v>
      </c>
      <c r="Y40" s="2416"/>
      <c r="Z40" s="2417" t="s">
        <v>448</v>
      </c>
      <c r="AA40" s="2422"/>
      <c r="AB40" s="2416"/>
      <c r="AC40" s="2581"/>
      <c r="AD40" s="2494" t="s">
        <v>432</v>
      </c>
      <c r="AE40" s="2572" t="s">
        <v>433</v>
      </c>
      <c r="AF40" s="2417" t="s">
        <v>434</v>
      </c>
      <c r="AG40" s="2416"/>
      <c r="AH40" s="2417" t="s">
        <v>435</v>
      </c>
      <c r="AI40" s="2422"/>
      <c r="AJ40" s="2416"/>
      <c r="AK40" s="2581"/>
      <c r="AL40" s="2584"/>
      <c r="AM40" s="2435"/>
      <c r="AS40" s="1071">
        <v>34</v>
      </c>
    </row>
    <row r="41" spans="1:45" ht="35.65" customHeight="1">
      <c r="A41" s="1286"/>
      <c r="B41" s="1286" t="s">
        <v>136</v>
      </c>
      <c r="C41" s="1286" t="s">
        <v>137</v>
      </c>
      <c r="D41" s="1286" t="s">
        <v>138</v>
      </c>
      <c r="E41" s="1280" t="s">
        <v>436</v>
      </c>
      <c r="F41" s="1280" t="s">
        <v>437</v>
      </c>
      <c r="G41" s="1280" t="s">
        <v>438</v>
      </c>
      <c r="H41" s="1280" t="s">
        <v>439</v>
      </c>
      <c r="I41" s="1280" t="s">
        <v>440</v>
      </c>
      <c r="J41" s="1280" t="s">
        <v>441</v>
      </c>
      <c r="K41" s="1280" t="s">
        <v>442</v>
      </c>
      <c r="L41" s="1280" t="s">
        <v>417</v>
      </c>
      <c r="Q41" s="312"/>
      <c r="R41" s="312"/>
      <c r="S41" s="2576"/>
      <c r="T41" s="2524"/>
      <c r="U41" s="239"/>
      <c r="V41" s="2549"/>
      <c r="W41" s="2573"/>
      <c r="X41" s="1138" t="s">
        <v>443</v>
      </c>
      <c r="Y41" s="1138" t="s">
        <v>444</v>
      </c>
      <c r="Z41" s="1254" t="s">
        <v>445</v>
      </c>
      <c r="AA41" s="2529" t="s">
        <v>446</v>
      </c>
      <c r="AB41" s="2543"/>
      <c r="AC41" s="2582"/>
      <c r="AD41" s="2549"/>
      <c r="AE41" s="2573"/>
      <c r="AF41" s="1138" t="s">
        <v>443</v>
      </c>
      <c r="AG41" s="1138" t="s">
        <v>444</v>
      </c>
      <c r="AH41" s="1254" t="s">
        <v>445</v>
      </c>
      <c r="AI41" s="2529" t="s">
        <v>446</v>
      </c>
      <c r="AJ41" s="2543"/>
      <c r="AK41" s="2582"/>
      <c r="AL41" s="2585"/>
      <c r="AM41" s="2435"/>
      <c r="AS41" s="1071">
        <v>34</v>
      </c>
    </row>
    <row r="42" spans="1:45" s="233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109</v>
      </c>
      <c r="T42" s="1171" t="s">
        <v>110</v>
      </c>
      <c r="U42" s="1161" t="str">
        <f ca="1">OFFSET(U42,0,-1)</f>
        <v>2</v>
      </c>
      <c r="V42" s="1251">
        <f ca="1">OFFSET(V42,0,-1)+1</f>
        <v>3</v>
      </c>
      <c r="W42" s="1251"/>
      <c r="X42" s="1251">
        <f ca="1">OFFSET(X42,0,-1)+1</f>
        <v>1</v>
      </c>
      <c r="Y42" s="1251">
        <f ca="1">OFFSET(Y42,0,-1)+1</f>
        <v>2</v>
      </c>
      <c r="Z42" s="1251">
        <f ca="1">OFFSET(Z42,0,-1)+1</f>
        <v>3</v>
      </c>
      <c r="AA42" s="2574">
        <f ca="1">OFFSET(AA42,0,-1)+1</f>
        <v>4</v>
      </c>
      <c r="AB42" s="2574"/>
      <c r="AC42" s="1251">
        <f ca="1">OFFSET(AC42,0,-2)+1</f>
        <v>5</v>
      </c>
      <c r="AD42" s="1251">
        <f ca="1">OFFSET(AD42,0,-1)+1</f>
        <v>6</v>
      </c>
      <c r="AE42" s="1251"/>
      <c r="AF42" s="1251">
        <f ca="1">OFFSET(AF42,0,-1)+1</f>
        <v>1</v>
      </c>
      <c r="AG42" s="1251">
        <f ca="1">OFFSET(AG42,0,-1)+1</f>
        <v>2</v>
      </c>
      <c r="AH42" s="1251">
        <f ca="1">OFFSET(AH42,0,-1)+1</f>
        <v>3</v>
      </c>
      <c r="AI42" s="2574">
        <f ca="1">OFFSET(AI42,0,-1)+1</f>
        <v>4</v>
      </c>
      <c r="AJ42" s="2574"/>
      <c r="AK42" s="1251">
        <f ca="1">OFFSET(AK42,0,-2)+1</f>
        <v>5</v>
      </c>
      <c r="AL42" s="1161">
        <f ca="1">OFFSET(AL42,0,-1)</f>
        <v>5</v>
      </c>
      <c r="AM42" s="1251">
        <f ca="1">OFFSET(AM42,0,-1)+1</f>
        <v>6</v>
      </c>
      <c r="AN42" s="447"/>
      <c r="AO42" s="447"/>
      <c r="AP42" s="447"/>
      <c r="AQ42" s="447"/>
      <c r="AR42" s="447"/>
      <c r="AS42" s="432">
        <v>0</v>
      </c>
    </row>
    <row r="43" spans="1:45" ht="21.95" customHeight="1">
      <c r="A43" s="1279" t="s">
        <v>162</v>
      </c>
      <c r="B43" s="1279"/>
      <c r="C43" s="1279"/>
      <c r="D43" s="1279"/>
      <c r="E43" s="2563">
        <v>1</v>
      </c>
      <c r="F43" s="1279"/>
      <c r="G43" s="1279"/>
      <c r="H43" s="1279"/>
      <c r="I43" s="1279"/>
      <c r="J43" s="1279"/>
      <c r="K43" s="1279"/>
      <c r="L43" s="1280"/>
      <c r="M43" s="1281"/>
      <c r="N43" s="1281"/>
      <c r="O43" s="1281"/>
      <c r="P43" s="297"/>
      <c r="Q43" s="296"/>
      <c r="R43" s="291"/>
      <c r="S43" s="1252">
        <f>INDEX(PT_DIFFERENTIATION_NUM_NTAR,MATCH(A43,PT_DIFFERENTIATION_NTAR_ID,0))</f>
        <v>0</v>
      </c>
      <c r="T43" s="235" t="s">
        <v>124</v>
      </c>
      <c r="U43" s="237"/>
      <c r="V43" s="2557"/>
      <c r="W43" s="2558"/>
      <c r="X43" s="2558"/>
      <c r="Y43" s="2558"/>
      <c r="Z43" s="2558"/>
      <c r="AA43" s="2558"/>
      <c r="AB43" s="2558"/>
      <c r="AC43" s="2559"/>
      <c r="AD43" s="2557" t="str">
        <f>INDEX(PT_DIFFERENTIATION_NTAR,MATCH(A43,PT_DIFFERENTIATION_NTAR_ID,0))</f>
        <v/>
      </c>
      <c r="AE43" s="2558"/>
      <c r="AF43" s="2558"/>
      <c r="AG43" s="2558"/>
      <c r="AH43" s="2558"/>
      <c r="AI43" s="2558"/>
      <c r="AJ43" s="2558"/>
      <c r="AK43" s="2558"/>
      <c r="AL43" s="255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162</v>
      </c>
      <c r="B44" s="1279" t="s">
        <v>163</v>
      </c>
      <c r="C44" s="1279"/>
      <c r="D44" s="1279"/>
      <c r="E44" s="2564"/>
      <c r="F44" s="2563">
        <v>1</v>
      </c>
      <c r="G44" s="1279"/>
      <c r="H44" s="1279"/>
      <c r="I44" s="1279"/>
      <c r="J44" s="1279"/>
      <c r="K44" s="1279"/>
      <c r="L44" s="1280"/>
      <c r="M44" s="1281"/>
      <c r="N44" s="1281"/>
      <c r="O44" s="1281"/>
      <c r="P44" s="1248"/>
      <c r="Q44" s="288"/>
      <c r="R44" s="289"/>
      <c r="S44" s="1252" t="str">
        <f>INDEX(PT_DIFFERENTIATION_NUM_TER,MATCH(B44,PT_DIFFERENTIATION_TER_ID,0))</f>
        <v>.</v>
      </c>
      <c r="T44" s="245" t="s">
        <v>396</v>
      </c>
      <c r="U44" s="237"/>
      <c r="V44" s="2557"/>
      <c r="W44" s="2558"/>
      <c r="X44" s="2558"/>
      <c r="Y44" s="2558"/>
      <c r="Z44" s="2558"/>
      <c r="AA44" s="2558"/>
      <c r="AB44" s="2558"/>
      <c r="AC44" s="2559"/>
      <c r="AD44" s="2557" t="str">
        <f>INDEX(PT_DIFFERENTIATION_TER,MATCH(B44,PT_DIFFERENTIATION_TER_ID,0))</f>
        <v/>
      </c>
      <c r="AE44" s="2558"/>
      <c r="AF44" s="2558"/>
      <c r="AG44" s="2558"/>
      <c r="AH44" s="2558"/>
      <c r="AI44" s="2558"/>
      <c r="AJ44" s="2558"/>
      <c r="AK44" s="2558"/>
      <c r="AL44" s="2559"/>
      <c r="AM44" s="1174" t="s">
        <v>397</v>
      </c>
      <c r="AO44" s="436"/>
      <c r="AP44" s="436" t="str">
        <f t="shared" si="1"/>
        <v>Территория действия тарифа</v>
      </c>
      <c r="AQ44" s="436"/>
      <c r="AR44" s="436"/>
      <c r="AS44" s="1071">
        <v>21</v>
      </c>
    </row>
    <row r="45" spans="1:45" ht="24" customHeight="1">
      <c r="A45" s="1279" t="s">
        <v>162</v>
      </c>
      <c r="B45" s="1279" t="s">
        <v>163</v>
      </c>
      <c r="C45" s="1279" t="s">
        <v>164</v>
      </c>
      <c r="D45" s="1279"/>
      <c r="E45" s="2564"/>
      <c r="F45" s="2564"/>
      <c r="G45" s="2563">
        <v>1</v>
      </c>
      <c r="H45" s="1279"/>
      <c r="I45" s="1279"/>
      <c r="J45" s="1279"/>
      <c r="K45" s="1279"/>
      <c r="L45" s="1280"/>
      <c r="M45" s="1281"/>
      <c r="N45" s="1281"/>
      <c r="O45" s="1281"/>
      <c r="P45" s="290"/>
      <c r="Q45" s="288"/>
      <c r="R45" s="289"/>
      <c r="S45" s="1252" t="str">
        <f>INDEX(PT_DIFFERENTIATION_NUM_CS,MATCH(C45,PT_DIFFERENTIATION_CS_ID,0))</f>
        <v>..</v>
      </c>
      <c r="T45" s="246" t="s">
        <v>398</v>
      </c>
      <c r="U45" s="237"/>
      <c r="V45" s="2557"/>
      <c r="W45" s="2558"/>
      <c r="X45" s="2558"/>
      <c r="Y45" s="2558"/>
      <c r="Z45" s="2558"/>
      <c r="AA45" s="2558"/>
      <c r="AB45" s="2558"/>
      <c r="AC45" s="2559"/>
      <c r="AD45" s="2557" t="str">
        <f>INDEX(PT_DIFFERENTIATION_CS,MATCH(C45,PT_DIFFERENTIATION_CS_ID,0))</f>
        <v/>
      </c>
      <c r="AE45" s="2558"/>
      <c r="AF45" s="2558"/>
      <c r="AG45" s="2558"/>
      <c r="AH45" s="2558"/>
      <c r="AI45" s="2558"/>
      <c r="AJ45" s="2558"/>
      <c r="AK45" s="2558"/>
      <c r="AL45" s="2559"/>
      <c r="AM45" s="1174" t="s">
        <v>399</v>
      </c>
      <c r="AO45" s="436"/>
      <c r="AP45" s="436" t="str">
        <f t="shared" si="1"/>
        <v xml:space="preserve">Наименование системы теплоснабжения </v>
      </c>
      <c r="AQ45" s="436"/>
      <c r="AR45" s="436"/>
      <c r="AS45" s="1071">
        <v>23</v>
      </c>
    </row>
    <row r="46" spans="1:45" ht="21.95" customHeight="1">
      <c r="A46" s="1279" t="s">
        <v>162</v>
      </c>
      <c r="B46" s="1279" t="s">
        <v>163</v>
      </c>
      <c r="C46" s="1279" t="s">
        <v>164</v>
      </c>
      <c r="D46" s="1279" t="s">
        <v>165</v>
      </c>
      <c r="E46" s="2564"/>
      <c r="F46" s="2564"/>
      <c r="G46" s="2564"/>
      <c r="H46" s="2563">
        <v>1</v>
      </c>
      <c r="I46" s="1279"/>
      <c r="J46" s="1279"/>
      <c r="K46" s="1279"/>
      <c r="L46" s="1280"/>
      <c r="M46" s="1281"/>
      <c r="N46" s="1281"/>
      <c r="O46" s="1281"/>
      <c r="P46" s="290"/>
      <c r="Q46" s="288"/>
      <c r="R46" s="289"/>
      <c r="S46" s="1252" t="str">
        <f>INDEX(PT_DIFFERENTIATION_NUM_IST_TE,MATCH(D46,PT_DIFFERENTIATION_IST_TE_ID,0))</f>
        <v>...</v>
      </c>
      <c r="T46" s="247" t="s">
        <v>400</v>
      </c>
      <c r="U46" s="237"/>
      <c r="V46" s="2557"/>
      <c r="W46" s="2558"/>
      <c r="X46" s="2558"/>
      <c r="Y46" s="2558"/>
      <c r="Z46" s="2558"/>
      <c r="AA46" s="2558"/>
      <c r="AB46" s="2558"/>
      <c r="AC46" s="2559"/>
      <c r="AD46" s="2557" t="str">
        <f>INDEX(PT_DIFFERENTIATION_IST_TE,MATCH(D46,PT_DIFFERENTIATION_IST_TE_ID,0))</f>
        <v/>
      </c>
      <c r="AE46" s="2558"/>
      <c r="AF46" s="2558"/>
      <c r="AG46" s="2558"/>
      <c r="AH46" s="2558"/>
      <c r="AI46" s="2558"/>
      <c r="AJ46" s="2558"/>
      <c r="AK46" s="2558"/>
      <c r="AL46" s="2559"/>
      <c r="AM46" s="1174" t="s">
        <v>401</v>
      </c>
      <c r="AO46" s="436"/>
      <c r="AP46" s="436" t="str">
        <f t="shared" si="1"/>
        <v xml:space="preserve">Источник тепловой энергии  </v>
      </c>
      <c r="AQ46" s="436"/>
      <c r="AR46" s="436"/>
      <c r="AS46" s="1071">
        <v>21</v>
      </c>
    </row>
    <row r="47" spans="1:45" ht="49.5" customHeight="1">
      <c r="A47" s="1279" t="s">
        <v>162</v>
      </c>
      <c r="B47" s="1279" t="s">
        <v>163</v>
      </c>
      <c r="C47" s="1279" t="s">
        <v>164</v>
      </c>
      <c r="D47" s="1279" t="s">
        <v>165</v>
      </c>
      <c r="E47" s="2564"/>
      <c r="F47" s="2564"/>
      <c r="G47" s="2564"/>
      <c r="H47" s="2564"/>
      <c r="I47" s="2565" t="str">
        <f>S46&amp;".1"</f>
        <v>....1</v>
      </c>
      <c r="J47" s="1279"/>
      <c r="K47" s="1279"/>
      <c r="L47" s="1280" t="s">
        <v>402</v>
      </c>
      <c r="P47" s="2567">
        <v>1</v>
      </c>
      <c r="Q47" s="1247"/>
      <c r="R47" s="292"/>
      <c r="S47" s="1252" t="str">
        <f>$I47</f>
        <v>....1</v>
      </c>
      <c r="T47" s="222" t="s">
        <v>403</v>
      </c>
      <c r="U47" s="237"/>
      <c r="V47" s="2551"/>
      <c r="W47" s="2552"/>
      <c r="X47" s="2552"/>
      <c r="Y47" s="2552"/>
      <c r="Z47" s="2552"/>
      <c r="AA47" s="2552"/>
      <c r="AB47" s="2552"/>
      <c r="AC47" s="2553"/>
      <c r="AD47" s="2551"/>
      <c r="AE47" s="2552"/>
      <c r="AF47" s="2552"/>
      <c r="AG47" s="2552"/>
      <c r="AH47" s="2552"/>
      <c r="AI47" s="2552"/>
      <c r="AJ47" s="2552"/>
      <c r="AK47" s="2552"/>
      <c r="AL47" s="2553"/>
      <c r="AM47" s="1174" t="s">
        <v>404</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1.95" customHeight="1">
      <c r="A48" s="1279" t="s">
        <v>162</v>
      </c>
      <c r="B48" s="1279" t="s">
        <v>163</v>
      </c>
      <c r="C48" s="1279" t="s">
        <v>164</v>
      </c>
      <c r="D48" s="1279" t="s">
        <v>165</v>
      </c>
      <c r="E48" s="2564"/>
      <c r="F48" s="2564"/>
      <c r="G48" s="2564"/>
      <c r="H48" s="2564"/>
      <c r="I48" s="2566"/>
      <c r="J48" s="2565" t="str">
        <f>I47&amp;".1"</f>
        <v>....1.1</v>
      </c>
      <c r="K48" s="1279"/>
      <c r="L48" s="1280" t="s">
        <v>405</v>
      </c>
      <c r="P48" s="2567"/>
      <c r="Q48" s="2567">
        <v>1</v>
      </c>
      <c r="R48" s="293"/>
      <c r="S48" s="1252" t="str">
        <f>$J48</f>
        <v>....1.1</v>
      </c>
      <c r="T48" s="223" t="s">
        <v>406</v>
      </c>
      <c r="U48" s="237"/>
      <c r="V48" s="2551"/>
      <c r="W48" s="2552"/>
      <c r="X48" s="2552"/>
      <c r="Y48" s="2552"/>
      <c r="Z48" s="2552"/>
      <c r="AA48" s="2552"/>
      <c r="AB48" s="2552"/>
      <c r="AC48" s="2553"/>
      <c r="AD48" s="2551"/>
      <c r="AE48" s="2552"/>
      <c r="AF48" s="2552"/>
      <c r="AG48" s="2552"/>
      <c r="AH48" s="2552"/>
      <c r="AI48" s="2552"/>
      <c r="AJ48" s="2552"/>
      <c r="AK48" s="2552"/>
      <c r="AL48" s="2553"/>
      <c r="AM48" s="1174" t="s">
        <v>407</v>
      </c>
      <c r="AO48" s="436"/>
      <c r="AP48" s="436" t="str">
        <f t="shared" si="1"/>
        <v>Группа потребителей</v>
      </c>
      <c r="AQ48" s="436"/>
      <c r="AR48" s="436"/>
      <c r="AS48" s="1071">
        <v>21</v>
      </c>
    </row>
    <row r="49" spans="1:45" ht="21.95" customHeight="1">
      <c r="A49" s="1279" t="s">
        <v>162</v>
      </c>
      <c r="B49" s="1279" t="s">
        <v>163</v>
      </c>
      <c r="C49" s="1279" t="s">
        <v>164</v>
      </c>
      <c r="D49" s="1279" t="s">
        <v>165</v>
      </c>
      <c r="E49" s="2564"/>
      <c r="F49" s="2564"/>
      <c r="G49" s="2564"/>
      <c r="H49" s="2564"/>
      <c r="I49" s="2566"/>
      <c r="J49" s="2566"/>
      <c r="K49" s="2565" t="str">
        <f>J48&amp;".1"</f>
        <v>....1.1.1</v>
      </c>
      <c r="L49" s="1280" t="s">
        <v>408</v>
      </c>
      <c r="P49" s="2567"/>
      <c r="Q49" s="2567"/>
      <c r="R49" s="293">
        <v>1</v>
      </c>
      <c r="S49" s="1252" t="str">
        <f>$K49</f>
        <v>....1.1.1</v>
      </c>
      <c r="T49" s="1263"/>
      <c r="U49" s="237"/>
      <c r="V49" s="687"/>
      <c r="W49" s="262"/>
      <c r="X49" s="687"/>
      <c r="Y49" s="1173"/>
      <c r="Z49" s="2568"/>
      <c r="AA49" s="2445" t="s">
        <v>62</v>
      </c>
      <c r="AB49" s="2568"/>
      <c r="AC49" s="2445" t="s">
        <v>62</v>
      </c>
      <c r="AD49" s="687"/>
      <c r="AE49" s="262"/>
      <c r="AF49" s="687"/>
      <c r="AG49" s="1173"/>
      <c r="AH49" s="2568"/>
      <c r="AI49" s="2445" t="s">
        <v>62</v>
      </c>
      <c r="AJ49" s="2570"/>
      <c r="AK49" s="2445" t="s">
        <v>62</v>
      </c>
      <c r="AL49" s="1264"/>
      <c r="AM49" s="2586" t="s">
        <v>409</v>
      </c>
      <c r="AN49" s="447" t="e">
        <f ca="1">STRCHECKDATE(V50:AL50)</f>
        <v>#NAME?</v>
      </c>
      <c r="AO49" s="436"/>
      <c r="AP49" s="436" t="str">
        <f t="shared" si="1"/>
        <v/>
      </c>
      <c r="AQ49" s="436"/>
      <c r="AR49" s="436"/>
      <c r="AS49" s="1071">
        <v>21</v>
      </c>
    </row>
    <row r="50" spans="1:45" ht="1.1499999999999999" customHeight="1">
      <c r="A50" s="1279" t="s">
        <v>162</v>
      </c>
      <c r="B50" s="1279" t="s">
        <v>163</v>
      </c>
      <c r="C50" s="1279" t="s">
        <v>164</v>
      </c>
      <c r="D50" s="1279" t="s">
        <v>165</v>
      </c>
      <c r="E50" s="2564"/>
      <c r="F50" s="2564"/>
      <c r="G50" s="2564"/>
      <c r="H50" s="2564"/>
      <c r="I50" s="2566"/>
      <c r="J50" s="2566"/>
      <c r="K50" s="2565"/>
      <c r="L50" s="1280"/>
      <c r="P50" s="2567"/>
      <c r="Q50" s="2567"/>
      <c r="R50" s="293"/>
      <c r="S50" s="1258"/>
      <c r="T50" s="237"/>
      <c r="U50" s="237"/>
      <c r="V50" s="262"/>
      <c r="W50" s="262"/>
      <c r="X50" s="262"/>
      <c r="Y50" s="265" t="str">
        <f>Z49&amp;"-"&amp;AB49</f>
        <v>-</v>
      </c>
      <c r="Z50" s="2569"/>
      <c r="AA50" s="2445"/>
      <c r="AB50" s="2569"/>
      <c r="AC50" s="2445"/>
      <c r="AD50" s="262"/>
      <c r="AE50" s="262"/>
      <c r="AF50" s="262"/>
      <c r="AG50" s="265" t="str">
        <f>AH49&amp;"-"&amp;AJ49</f>
        <v>-</v>
      </c>
      <c r="AH50" s="2569"/>
      <c r="AI50" s="2445"/>
      <c r="AJ50" s="2571"/>
      <c r="AK50" s="2445"/>
      <c r="AL50" s="1265"/>
      <c r="AM50" s="2587"/>
      <c r="AO50" s="436"/>
      <c r="AP50" s="436" t="str">
        <f t="shared" si="1"/>
        <v/>
      </c>
      <c r="AQ50" s="436"/>
      <c r="AR50" s="436"/>
      <c r="AS50" s="1071">
        <v>1</v>
      </c>
    </row>
    <row r="51" spans="1:45" ht="11.45" customHeight="1">
      <c r="A51" s="1279" t="s">
        <v>162</v>
      </c>
      <c r="B51" s="1279" t="s">
        <v>163</v>
      </c>
      <c r="C51" s="1279" t="s">
        <v>164</v>
      </c>
      <c r="D51" s="1279" t="s">
        <v>165</v>
      </c>
      <c r="E51" s="2564"/>
      <c r="F51" s="2564"/>
      <c r="G51" s="2564"/>
      <c r="H51" s="2564"/>
      <c r="I51" s="2566"/>
      <c r="J51" s="2565"/>
      <c r="K51" s="1279"/>
      <c r="L51" s="1280"/>
      <c r="P51" s="2567"/>
      <c r="Q51" s="2567"/>
      <c r="R51" s="292"/>
      <c r="S51" s="1194"/>
      <c r="T51" s="225" t="s">
        <v>410</v>
      </c>
      <c r="U51" s="303"/>
      <c r="V51" s="303"/>
      <c r="W51" s="303"/>
      <c r="X51" s="303"/>
      <c r="Y51" s="303"/>
      <c r="Z51" s="303"/>
      <c r="AA51" s="303"/>
      <c r="AB51" s="303"/>
      <c r="AC51" s="303"/>
      <c r="AD51" s="303"/>
      <c r="AE51" s="303"/>
      <c r="AF51" s="303"/>
      <c r="AG51" s="303"/>
      <c r="AH51" s="303"/>
      <c r="AI51" s="303"/>
      <c r="AJ51" s="303"/>
      <c r="AK51" s="303"/>
      <c r="AL51" s="261"/>
      <c r="AM51" s="2588"/>
      <c r="AO51" s="436"/>
      <c r="AP51" s="436" t="str">
        <f t="shared" si="1"/>
        <v>Добавить вид теплоносителя (параметры теплоносителя)</v>
      </c>
      <c r="AQ51" s="436"/>
      <c r="AR51" s="436"/>
      <c r="AS51" s="1071">
        <v>11</v>
      </c>
    </row>
    <row r="52" spans="1:45" ht="11.45" customHeight="1">
      <c r="A52" s="1279" t="s">
        <v>162</v>
      </c>
      <c r="B52" s="1279" t="s">
        <v>163</v>
      </c>
      <c r="C52" s="1279" t="s">
        <v>164</v>
      </c>
      <c r="D52" s="1279" t="s">
        <v>165</v>
      </c>
      <c r="E52" s="2564"/>
      <c r="F52" s="2564"/>
      <c r="G52" s="2564"/>
      <c r="H52" s="2564"/>
      <c r="I52" s="2565"/>
      <c r="J52" s="1279"/>
      <c r="K52" s="1279"/>
      <c r="L52" s="1280"/>
      <c r="P52" s="2567"/>
      <c r="Q52" s="1247"/>
      <c r="R52" s="292"/>
      <c r="S52" s="119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162</v>
      </c>
      <c r="B53" s="1279" t="s">
        <v>163</v>
      </c>
      <c r="C53" s="1279" t="s">
        <v>164</v>
      </c>
      <c r="D53" s="1279" t="s">
        <v>165</v>
      </c>
      <c r="E53" s="2564"/>
      <c r="F53" s="2564"/>
      <c r="G53" s="2564"/>
      <c r="H53" s="2563"/>
      <c r="I53" s="1279"/>
      <c r="J53" s="1279"/>
      <c r="K53" s="1279"/>
      <c r="L53" s="1280"/>
      <c r="M53" s="1281"/>
      <c r="N53" s="1281"/>
      <c r="O53" s="473"/>
      <c r="P53" s="296"/>
      <c r="Q53" s="311"/>
      <c r="R53" s="291"/>
      <c r="S53" s="119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344" customFormat="1" ht="1.1499999999999999" customHeight="1">
      <c r="A54" s="1259" t="s">
        <v>162</v>
      </c>
      <c r="B54" s="1259" t="s">
        <v>163</v>
      </c>
      <c r="C54" s="1259" t="s">
        <v>164</v>
      </c>
      <c r="D54" s="1230"/>
      <c r="E54" s="2564"/>
      <c r="F54" s="2564"/>
      <c r="G54" s="2563"/>
      <c r="H54" s="1230"/>
      <c r="I54" s="1230"/>
      <c r="J54" s="1230"/>
      <c r="K54" s="1230"/>
      <c r="L54" s="1255"/>
      <c r="M54" s="1231"/>
      <c r="N54" s="1231"/>
      <c r="P54" s="1232"/>
      <c r="Q54" s="1233"/>
      <c r="R54" s="1232"/>
      <c r="S54" s="1238"/>
      <c r="T54" s="1241" t="s">
        <v>413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344" customFormat="1" ht="1.1499999999999999" customHeight="1">
      <c r="A55" s="1259" t="s">
        <v>162</v>
      </c>
      <c r="B55" s="1259" t="s">
        <v>163</v>
      </c>
      <c r="C55" s="1230"/>
      <c r="D55" s="1230"/>
      <c r="E55" s="2564"/>
      <c r="F55" s="2563"/>
      <c r="G55" s="1230"/>
      <c r="H55" s="1230"/>
      <c r="I55" s="1230"/>
      <c r="J55" s="1230"/>
      <c r="K55" s="1230"/>
      <c r="L55" s="1255"/>
      <c r="M55" s="1237"/>
      <c r="N55" s="1237"/>
      <c r="P55" s="1232"/>
      <c r="Q55" s="1233"/>
      <c r="R55" s="1232"/>
      <c r="S55" s="1238"/>
      <c r="T55" s="1241" t="s">
        <v>414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344" customFormat="1" ht="1.1499999999999999" customHeight="1">
      <c r="A56" s="1259" t="s">
        <v>162</v>
      </c>
      <c r="B56" s="1259"/>
      <c r="C56" s="1259"/>
      <c r="D56" s="1259"/>
      <c r="E56" s="2563"/>
      <c r="F56" s="1259"/>
      <c r="G56" s="1259"/>
      <c r="H56" s="1259"/>
      <c r="I56" s="1259"/>
      <c r="J56" s="1259"/>
      <c r="K56" s="1259"/>
      <c r="L56" s="1262"/>
      <c r="M56" s="1237"/>
      <c r="N56" s="1237"/>
      <c r="O56" s="454"/>
      <c r="P56" s="316"/>
      <c r="Q56" s="1260"/>
      <c r="R56" s="316"/>
      <c r="S56" s="1238"/>
      <c r="T56" s="1241" t="s">
        <v>415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344"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562"/>
      <c r="U59" s="2562"/>
      <c r="V59" s="2562"/>
      <c r="W59" s="2562"/>
      <c r="X59" s="2562"/>
      <c r="Y59" s="2562"/>
      <c r="Z59" s="2562"/>
      <c r="AA59" s="2562"/>
      <c r="AB59" s="2562"/>
      <c r="AC59" s="2562"/>
      <c r="AD59" s="2562"/>
      <c r="AE59" s="2562"/>
      <c r="AF59" s="2562"/>
      <c r="AG59" s="2562"/>
      <c r="AH59" s="2562"/>
      <c r="AI59" s="2562"/>
      <c r="AJ59" s="2562"/>
      <c r="AK59" s="2562"/>
      <c r="AL59" s="2562"/>
      <c r="AM59" s="2562"/>
      <c r="AS59" s="1071">
        <v>27</v>
      </c>
    </row>
    <row r="60" spans="1:45" ht="65.25" customHeight="1">
      <c r="O60" s="473"/>
      <c r="T60" s="2562"/>
      <c r="U60" s="2562"/>
      <c r="V60" s="2562"/>
      <c r="W60" s="2562"/>
      <c r="X60" s="2562"/>
      <c r="Y60" s="2562"/>
      <c r="Z60" s="2562"/>
      <c r="AA60" s="2562"/>
      <c r="AB60" s="2562"/>
      <c r="AC60" s="2562"/>
      <c r="AD60" s="2562"/>
      <c r="AE60" s="2562"/>
      <c r="AF60" s="2562"/>
      <c r="AG60" s="2562"/>
      <c r="AH60" s="2562"/>
      <c r="AI60" s="2562"/>
      <c r="AJ60" s="2562"/>
      <c r="AK60" s="2562"/>
      <c r="AL60" s="2562"/>
      <c r="AM60" s="2562"/>
      <c r="AS60" s="1071">
        <v>62</v>
      </c>
    </row>
    <row r="61" spans="1:45" ht="14.65" customHeight="1">
      <c r="O61" s="473"/>
      <c r="AS61" s="1071">
        <v>14</v>
      </c>
    </row>
    <row r="62" spans="1:45" ht="18.75" customHeight="1">
      <c r="O62" s="473"/>
      <c r="S62" s="1169"/>
      <c r="T62" s="2562"/>
      <c r="U62" s="2562"/>
      <c r="V62" s="2562"/>
      <c r="W62" s="2562"/>
      <c r="X62" s="2562"/>
      <c r="Y62" s="2562"/>
      <c r="Z62" s="2562"/>
      <c r="AA62" s="2562"/>
      <c r="AB62" s="2562"/>
      <c r="AC62" s="2562"/>
      <c r="AD62" s="2562"/>
      <c r="AE62" s="2562"/>
      <c r="AF62" s="2562"/>
      <c r="AG62" s="2562"/>
      <c r="AH62" s="2562"/>
      <c r="AI62" s="2562"/>
      <c r="AJ62" s="2562"/>
      <c r="AK62" s="2562"/>
      <c r="AL62" s="2562"/>
      <c r="AM62" s="2562"/>
      <c r="AS62" s="1071">
        <v>18</v>
      </c>
    </row>
    <row r="63" spans="1:45" ht="18.75" customHeight="1">
      <c r="O63" s="473"/>
      <c r="T63" s="2562"/>
      <c r="U63" s="2562"/>
      <c r="V63" s="2562"/>
      <c r="W63" s="2562"/>
      <c r="X63" s="2562"/>
      <c r="Y63" s="2562"/>
      <c r="Z63" s="2562"/>
      <c r="AA63" s="2562"/>
      <c r="AB63" s="2562"/>
      <c r="AC63" s="2562"/>
      <c r="AD63" s="2562"/>
      <c r="AE63" s="2562"/>
      <c r="AF63" s="2562"/>
      <c r="AG63" s="2562"/>
      <c r="AH63" s="2562"/>
      <c r="AI63" s="2562"/>
      <c r="AJ63" s="2562"/>
      <c r="AK63" s="2562"/>
      <c r="AL63" s="2562"/>
      <c r="AM63" s="2562"/>
      <c r="AS63" s="1071">
        <v>18</v>
      </c>
    </row>
    <row r="64" spans="1:45" ht="29.25" customHeight="1">
      <c r="O64" s="473"/>
      <c r="S64" s="1169"/>
      <c r="T64" s="2562"/>
      <c r="U64" s="2562"/>
      <c r="V64" s="2562"/>
      <c r="W64" s="2562"/>
      <c r="X64" s="2562"/>
      <c r="Y64" s="2562"/>
      <c r="Z64" s="2562"/>
      <c r="AA64" s="2562"/>
      <c r="AB64" s="2562"/>
      <c r="AC64" s="2562"/>
      <c r="AD64" s="2562"/>
      <c r="AE64" s="2562"/>
      <c r="AF64" s="2562"/>
      <c r="AG64" s="2562"/>
      <c r="AH64" s="2562"/>
      <c r="AI64" s="2562"/>
      <c r="AJ64" s="2562"/>
      <c r="AK64" s="2562"/>
      <c r="AL64" s="2562"/>
      <c r="AM64" s="2562"/>
      <c r="AS64" s="1071">
        <v>28</v>
      </c>
    </row>
    <row r="65" spans="1:45" ht="22.5" hidden="1" customHeight="1">
      <c r="A65" s="1076" t="s">
        <v>82</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81">
        <v>3</v>
      </c>
      <c r="R65" s="281">
        <v>3</v>
      </c>
      <c r="S65" s="517">
        <v>12</v>
      </c>
      <c r="T65" s="1071">
        <v>31</v>
      </c>
      <c r="U65" s="1071">
        <v>0</v>
      </c>
      <c r="V65" s="1071">
        <v>0</v>
      </c>
      <c r="W65" s="1071">
        <v>0</v>
      </c>
      <c r="X65" s="1071">
        <v>0</v>
      </c>
      <c r="Y65" s="1071">
        <v>0</v>
      </c>
      <c r="Z65" s="1071">
        <v>0</v>
      </c>
      <c r="AA65" s="1071">
        <v>0</v>
      </c>
      <c r="AB65" s="1071">
        <v>0</v>
      </c>
      <c r="AC65" s="1071">
        <v>0</v>
      </c>
      <c r="AD65" s="1071">
        <v>24</v>
      </c>
      <c r="AE65" s="1071">
        <v>0</v>
      </c>
      <c r="AF65" s="1071">
        <v>24</v>
      </c>
      <c r="AG65" s="1071">
        <v>24</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60" hidden="1"/>
    <col min="2" max="2" width="11" style="2360" hidden="1" customWidth="1"/>
    <col min="3" max="3" width="10.5703125" style="2360" hidden="1"/>
    <col min="4" max="4" width="11.85546875" style="2360" hidden="1" customWidth="1"/>
    <col min="5" max="5" width="10" style="2360" hidden="1" customWidth="1"/>
    <col min="6" max="6" width="8.7109375" style="2360" hidden="1" customWidth="1"/>
    <col min="7" max="7" width="7.5703125" style="2360" hidden="1" customWidth="1"/>
    <col min="8" max="8" width="11.42578125" style="2360" hidden="1" customWidth="1"/>
    <col min="9" max="9" width="12" style="2360" hidden="1" customWidth="1"/>
    <col min="10" max="10" width="9.85546875" style="2360" hidden="1" customWidth="1"/>
    <col min="11" max="11" width="11.42578125" style="2360" hidden="1" customWidth="1"/>
    <col min="12" max="12" width="19.140625" style="2388" hidden="1" customWidth="1"/>
    <col min="13" max="14" width="12.28515625" style="2392" hidden="1" customWidth="1"/>
    <col min="15" max="15" width="23.42578125" style="2392" hidden="1" customWidth="1"/>
    <col min="16" max="16" width="3" style="2392" customWidth="1"/>
    <col min="17" max="18" width="3" style="2359" customWidth="1"/>
    <col min="19" max="19" width="12" style="2387" customWidth="1"/>
    <col min="20" max="20" width="31" style="2360" customWidth="1"/>
    <col min="21" max="21" width="0.140625" style="2360" customWidth="1"/>
    <col min="22" max="22" width="24.7109375" style="2360" hidden="1" customWidth="1"/>
    <col min="23" max="23" width="0.140625" style="2360" hidden="1" customWidth="1"/>
    <col min="24" max="25" width="24.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24.7109375" style="2360" customWidth="1"/>
    <col min="31" max="31" width="0.140625" style="2360" customWidth="1"/>
    <col min="32" max="33" width="24" style="2360" customWidth="1"/>
    <col min="34" max="34" width="11" style="2360" customWidth="1"/>
    <col min="35" max="35" width="3.7109375" style="2360" customWidth="1"/>
    <col min="36" max="36" width="11" style="2360" customWidth="1"/>
    <col min="37" max="37" width="8.5703125" style="2360" hidden="1" customWidth="1"/>
    <col min="38" max="38" width="4" style="2360" customWidth="1"/>
    <col min="39" max="39" width="115" style="2360" customWidth="1"/>
    <col min="40" max="44" width="10" style="2344" customWidth="1"/>
    <col min="45" max="45" width="10.5703125" style="2360" hidden="1"/>
  </cols>
  <sheetData>
    <row r="1" spans="1:45" ht="22.5" hidden="1" customHeight="1">
      <c r="AS1" s="1547" t="s">
        <v>14</v>
      </c>
    </row>
    <row r="2" spans="1:45" ht="21" hidden="1" customHeight="1">
      <c r="A2" s="1183"/>
      <c r="B2" s="1183"/>
      <c r="C2" s="1183"/>
      <c r="D2" s="1183"/>
      <c r="E2" s="2589">
        <v>1</v>
      </c>
      <c r="F2" s="1183"/>
      <c r="G2" s="1183"/>
      <c r="H2" s="1183"/>
      <c r="I2" s="1183"/>
      <c r="J2" s="1183"/>
      <c r="K2" s="1183"/>
      <c r="L2" s="1226"/>
      <c r="M2" s="1526"/>
      <c r="N2" s="1526"/>
      <c r="O2" s="1526"/>
      <c r="P2" s="1506"/>
      <c r="Q2" s="296"/>
      <c r="R2" s="291"/>
      <c r="S2" s="1867" t="e">
        <f>INDEX(PT_DIFFERENTIATION_NUM_NTAR,MATCH(A2,PT_DIFFERENTIATION_NTAR_ID,0))</f>
        <v>#N/A</v>
      </c>
      <c r="T2" s="1441" t="s">
        <v>124</v>
      </c>
      <c r="U2" s="237"/>
      <c r="V2" s="2557"/>
      <c r="W2" s="2558"/>
      <c r="X2" s="2558"/>
      <c r="Y2" s="2558"/>
      <c r="Z2" s="2558"/>
      <c r="AA2" s="2558"/>
      <c r="AB2" s="2558"/>
      <c r="AC2" s="2559"/>
      <c r="AD2" s="2557" t="e">
        <f>INDEX(PT_DIFFERENTIATION_NTAR,MATCH(A2,PT_DIFFERENTIATION_NTAR_ID,0))</f>
        <v>#N/A</v>
      </c>
      <c r="AE2" s="2558"/>
      <c r="AF2" s="2558"/>
      <c r="AG2" s="2558"/>
      <c r="AH2" s="2558"/>
      <c r="AI2" s="2558"/>
      <c r="AJ2" s="2558"/>
      <c r="AK2" s="2558"/>
      <c r="AL2" s="2559"/>
      <c r="AM2" s="1174" t="s">
        <v>395</v>
      </c>
      <c r="AO2" s="1540"/>
      <c r="AP2" s="1540" t="str">
        <f t="shared" ref="AP2:AP15" si="0">IF(T2="","",T2)</f>
        <v>Наименование тарифа</v>
      </c>
      <c r="AQ2" s="1540"/>
      <c r="AR2" s="1540"/>
      <c r="AS2" s="1547">
        <v>0</v>
      </c>
    </row>
    <row r="3" spans="1:45" ht="21" hidden="1" customHeight="1">
      <c r="A3" s="1183"/>
      <c r="B3" s="1183"/>
      <c r="C3" s="1183"/>
      <c r="D3" s="1183"/>
      <c r="E3" s="2590"/>
      <c r="F3" s="2589">
        <v>1</v>
      </c>
      <c r="G3" s="1183"/>
      <c r="H3" s="1183"/>
      <c r="I3" s="1183"/>
      <c r="J3" s="1183"/>
      <c r="K3" s="1183"/>
      <c r="L3" s="1226"/>
      <c r="M3" s="1526"/>
      <c r="N3" s="1526"/>
      <c r="O3" s="1526"/>
      <c r="P3" s="1849"/>
      <c r="Q3" s="288"/>
      <c r="R3" s="289"/>
      <c r="S3" s="1867" t="e">
        <f>INDEX(PT_DIFFERENTIATION_NUM_TER,MATCH(B3,PT_DIFFERENTIATION_TER_ID,0))</f>
        <v>#N/A</v>
      </c>
      <c r="T3" s="1438" t="s">
        <v>396</v>
      </c>
      <c r="U3" s="237"/>
      <c r="V3" s="2557"/>
      <c r="W3" s="2558"/>
      <c r="X3" s="2558"/>
      <c r="Y3" s="2558"/>
      <c r="Z3" s="2558"/>
      <c r="AA3" s="2558"/>
      <c r="AB3" s="2558"/>
      <c r="AC3" s="2559"/>
      <c r="AD3" s="2557" t="e">
        <f>INDEX(PT_DIFFERENTIATION_TER,MATCH(B3,PT_DIFFERENTIATION_TER_ID,0))</f>
        <v>#N/A</v>
      </c>
      <c r="AE3" s="2558"/>
      <c r="AF3" s="2558"/>
      <c r="AG3" s="2558"/>
      <c r="AH3" s="2558"/>
      <c r="AI3" s="2558"/>
      <c r="AJ3" s="2558"/>
      <c r="AK3" s="2558"/>
      <c r="AL3" s="2559"/>
      <c r="AM3" s="1174" t="s">
        <v>397</v>
      </c>
      <c r="AO3" s="1540"/>
      <c r="AP3" s="1540" t="str">
        <f t="shared" si="0"/>
        <v>Территория действия тарифа</v>
      </c>
      <c r="AQ3" s="1540"/>
      <c r="AR3" s="1540"/>
      <c r="AS3" s="1547">
        <v>0</v>
      </c>
    </row>
    <row r="4" spans="1:45" ht="23.25" hidden="1" customHeight="1">
      <c r="A4" s="1183"/>
      <c r="B4" s="1183"/>
      <c r="C4" s="1183"/>
      <c r="D4" s="1183"/>
      <c r="E4" s="2590"/>
      <c r="F4" s="2590"/>
      <c r="G4" s="2589">
        <v>1</v>
      </c>
      <c r="H4" s="1183"/>
      <c r="I4" s="1183"/>
      <c r="J4" s="1183"/>
      <c r="K4" s="1183"/>
      <c r="L4" s="1226"/>
      <c r="M4" s="1526"/>
      <c r="N4" s="1526"/>
      <c r="O4" s="1526"/>
      <c r="P4" s="290"/>
      <c r="Q4" s="288"/>
      <c r="R4" s="289"/>
      <c r="S4" s="1867" t="e">
        <f>INDEX(PT_DIFFERENTIATION_NUM_CS,MATCH(C4,PT_DIFFERENTIATION_CS_ID,0))</f>
        <v>#N/A</v>
      </c>
      <c r="T4" s="246" t="s">
        <v>398</v>
      </c>
      <c r="U4" s="237"/>
      <c r="V4" s="2557"/>
      <c r="W4" s="2558"/>
      <c r="X4" s="2558"/>
      <c r="Y4" s="2558"/>
      <c r="Z4" s="2558"/>
      <c r="AA4" s="2558"/>
      <c r="AB4" s="2558"/>
      <c r="AC4" s="2559"/>
      <c r="AD4" s="2557" t="e">
        <f>INDEX(PT_DIFFERENTIATION_CS,MATCH(C4,PT_DIFFERENTIATION_CS_ID,0))</f>
        <v>#N/A</v>
      </c>
      <c r="AE4" s="2558"/>
      <c r="AF4" s="2558"/>
      <c r="AG4" s="2558"/>
      <c r="AH4" s="2558"/>
      <c r="AI4" s="2558"/>
      <c r="AJ4" s="2558"/>
      <c r="AK4" s="2558"/>
      <c r="AL4" s="2559"/>
      <c r="AM4" s="1174" t="s">
        <v>399</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590"/>
      <c r="F5" s="2590"/>
      <c r="G5" s="2590"/>
      <c r="H5" s="2589">
        <v>1</v>
      </c>
      <c r="I5" s="1183"/>
      <c r="J5" s="1183"/>
      <c r="K5" s="1183"/>
      <c r="L5" s="1226"/>
      <c r="M5" s="1526"/>
      <c r="N5" s="1526"/>
      <c r="O5" s="1526"/>
      <c r="P5" s="290"/>
      <c r="Q5" s="288"/>
      <c r="R5" s="289"/>
      <c r="S5" s="1867" t="e">
        <f>INDEX(PT_DIFFERENTIATION_NUM_IST_TE,MATCH(D5,PT_DIFFERENTIATION_IST_TE_ID,0))</f>
        <v>#N/A</v>
      </c>
      <c r="T5" s="247" t="s">
        <v>400</v>
      </c>
      <c r="U5" s="237"/>
      <c r="V5" s="2557"/>
      <c r="W5" s="2558"/>
      <c r="X5" s="2558"/>
      <c r="Y5" s="2558"/>
      <c r="Z5" s="2558"/>
      <c r="AA5" s="2558"/>
      <c r="AB5" s="2558"/>
      <c r="AC5" s="2559"/>
      <c r="AD5" s="2557" t="e">
        <f>INDEX(PT_DIFFERENTIATION_IST_TE,MATCH(D5,PT_DIFFERENTIATION_IST_TE_ID,0))</f>
        <v>#N/A</v>
      </c>
      <c r="AE5" s="2558"/>
      <c r="AF5" s="2558"/>
      <c r="AG5" s="2558"/>
      <c r="AH5" s="2558"/>
      <c r="AI5" s="2558"/>
      <c r="AJ5" s="2558"/>
      <c r="AK5" s="2558"/>
      <c r="AL5" s="2559"/>
      <c r="AM5" s="1174" t="s">
        <v>401</v>
      </c>
      <c r="AO5" s="1540"/>
      <c r="AP5" s="1540" t="str">
        <f t="shared" si="0"/>
        <v xml:space="preserve">Источник тепловой энергии  </v>
      </c>
      <c r="AQ5" s="1540"/>
      <c r="AR5" s="1540"/>
      <c r="AS5" s="1547">
        <v>0</v>
      </c>
    </row>
    <row r="6" spans="1:45" ht="47.25" hidden="1" customHeight="1">
      <c r="A6" s="1183"/>
      <c r="B6" s="1183"/>
      <c r="C6" s="1183"/>
      <c r="D6" s="1183"/>
      <c r="E6" s="2590"/>
      <c r="F6" s="2590"/>
      <c r="G6" s="2590"/>
      <c r="H6" s="2590"/>
      <c r="I6" s="2435" t="e">
        <f>S5&amp;".1"</f>
        <v>#N/A</v>
      </c>
      <c r="J6" s="1183"/>
      <c r="K6" s="1183"/>
      <c r="L6" s="1226" t="s">
        <v>402</v>
      </c>
      <c r="M6" s="1551"/>
      <c r="P6" s="2567">
        <v>1</v>
      </c>
      <c r="Q6" s="1863"/>
      <c r="R6" s="292"/>
      <c r="S6" s="1867" t="e">
        <f>$I6</f>
        <v>#N/A</v>
      </c>
      <c r="T6" s="222" t="s">
        <v>403</v>
      </c>
      <c r="U6" s="237"/>
      <c r="V6" s="2551"/>
      <c r="W6" s="2552"/>
      <c r="X6" s="2552"/>
      <c r="Y6" s="2552"/>
      <c r="Z6" s="2552"/>
      <c r="AA6" s="2552"/>
      <c r="AB6" s="2552"/>
      <c r="AC6" s="2553"/>
      <c r="AD6" s="2551"/>
      <c r="AE6" s="2552"/>
      <c r="AF6" s="2552"/>
      <c r="AG6" s="2552"/>
      <c r="AH6" s="2552"/>
      <c r="AI6" s="2552"/>
      <c r="AJ6" s="2552"/>
      <c r="AK6" s="2552"/>
      <c r="AL6" s="2553"/>
      <c r="AM6" s="1174" t="s">
        <v>404</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590"/>
      <c r="F7" s="2590"/>
      <c r="G7" s="2590"/>
      <c r="H7" s="2590"/>
      <c r="I7" s="2417"/>
      <c r="J7" s="2435" t="e">
        <f>I6&amp;".1"</f>
        <v>#N/A</v>
      </c>
      <c r="K7" s="1183"/>
      <c r="L7" s="1226" t="s">
        <v>405</v>
      </c>
      <c r="M7" s="1551"/>
      <c r="N7" s="1547"/>
      <c r="P7" s="2567"/>
      <c r="Q7" s="2567">
        <v>1</v>
      </c>
      <c r="R7" s="293"/>
      <c r="S7" s="1867" t="e">
        <f>$J7</f>
        <v>#N/A</v>
      </c>
      <c r="T7" s="223" t="s">
        <v>406</v>
      </c>
      <c r="U7" s="237"/>
      <c r="V7" s="2551"/>
      <c r="W7" s="2552"/>
      <c r="X7" s="2552"/>
      <c r="Y7" s="2552"/>
      <c r="Z7" s="2552"/>
      <c r="AA7" s="2552"/>
      <c r="AB7" s="2552"/>
      <c r="AC7" s="2553"/>
      <c r="AD7" s="2551"/>
      <c r="AE7" s="2552"/>
      <c r="AF7" s="2552"/>
      <c r="AG7" s="2552"/>
      <c r="AH7" s="2552"/>
      <c r="AI7" s="2552"/>
      <c r="AJ7" s="2552"/>
      <c r="AK7" s="2552"/>
      <c r="AL7" s="2553"/>
      <c r="AM7" s="1174" t="s">
        <v>407</v>
      </c>
      <c r="AO7" s="1540"/>
      <c r="AP7" s="1540" t="str">
        <f t="shared" si="0"/>
        <v>Группа потребителей</v>
      </c>
      <c r="AQ7" s="1540"/>
      <c r="AR7" s="1540"/>
      <c r="AS7" s="1547">
        <v>0</v>
      </c>
    </row>
    <row r="8" spans="1:45" ht="21" hidden="1" customHeight="1">
      <c r="A8" s="1183"/>
      <c r="B8" s="1183"/>
      <c r="C8" s="1183"/>
      <c r="D8" s="1183"/>
      <c r="E8" s="2590"/>
      <c r="F8" s="2590"/>
      <c r="G8" s="2590"/>
      <c r="H8" s="2590"/>
      <c r="I8" s="2417"/>
      <c r="J8" s="2417"/>
      <c r="K8" s="2435" t="e">
        <f>J7&amp;".1"</f>
        <v>#N/A</v>
      </c>
      <c r="L8" s="1226" t="s">
        <v>408</v>
      </c>
      <c r="M8" s="1551"/>
      <c r="N8" s="1547"/>
      <c r="O8" s="1547"/>
      <c r="P8" s="2567"/>
      <c r="Q8" s="2567"/>
      <c r="R8" s="293">
        <v>1</v>
      </c>
      <c r="S8" s="1867" t="e">
        <f>$K8</f>
        <v>#N/A</v>
      </c>
      <c r="T8" s="1263"/>
      <c r="U8" s="237"/>
      <c r="V8" s="687"/>
      <c r="W8" s="262"/>
      <c r="X8" s="687"/>
      <c r="Y8" s="1173"/>
      <c r="Z8" s="2568"/>
      <c r="AA8" s="2445" t="s">
        <v>62</v>
      </c>
      <c r="AB8" s="2568"/>
      <c r="AC8" s="2445" t="s">
        <v>62</v>
      </c>
      <c r="AD8" s="687"/>
      <c r="AE8" s="262"/>
      <c r="AF8" s="687"/>
      <c r="AG8" s="1173"/>
      <c r="AH8" s="2568"/>
      <c r="AI8" s="2445" t="s">
        <v>62</v>
      </c>
      <c r="AJ8" s="2568"/>
      <c r="AK8" s="2445" t="s">
        <v>62</v>
      </c>
      <c r="AL8" s="262"/>
      <c r="AM8" s="2586" t="s">
        <v>409</v>
      </c>
      <c r="AN8" s="1552" t="e">
        <f ca="1">STRCHECKDATE(V9:AL9)</f>
        <v>#NAME?</v>
      </c>
      <c r="AO8" s="1540"/>
      <c r="AP8" s="1540" t="str">
        <f t="shared" si="0"/>
        <v/>
      </c>
      <c r="AQ8" s="1540"/>
      <c r="AR8" s="1540"/>
      <c r="AS8" s="1547">
        <v>0</v>
      </c>
    </row>
    <row r="9" spans="1:45" ht="0.75" hidden="1" customHeight="1">
      <c r="A9" s="1183"/>
      <c r="B9" s="1183"/>
      <c r="C9" s="1183"/>
      <c r="D9" s="1183"/>
      <c r="E9" s="2590"/>
      <c r="F9" s="2590"/>
      <c r="G9" s="2590"/>
      <c r="H9" s="2590"/>
      <c r="I9" s="2417"/>
      <c r="J9" s="2417"/>
      <c r="K9" s="2435"/>
      <c r="L9" s="1226"/>
      <c r="M9" s="1551"/>
      <c r="N9" s="1547"/>
      <c r="O9" s="1547"/>
      <c r="P9" s="2567"/>
      <c r="Q9" s="2567"/>
      <c r="R9" s="293"/>
      <c r="S9" s="1876"/>
      <c r="T9" s="237"/>
      <c r="U9" s="237"/>
      <c r="V9" s="262"/>
      <c r="W9" s="262"/>
      <c r="X9" s="262"/>
      <c r="Y9" s="265" t="str">
        <f>Z8&amp;"-"&amp;AB8</f>
        <v>-</v>
      </c>
      <c r="Z9" s="2569"/>
      <c r="AA9" s="2445"/>
      <c r="AB9" s="2569"/>
      <c r="AC9" s="2445"/>
      <c r="AD9" s="262"/>
      <c r="AE9" s="262"/>
      <c r="AF9" s="262"/>
      <c r="AG9" s="265" t="str">
        <f>AH8&amp;"-"&amp;AJ8</f>
        <v>-</v>
      </c>
      <c r="AH9" s="2569"/>
      <c r="AI9" s="2445"/>
      <c r="AJ9" s="2569"/>
      <c r="AK9" s="2445"/>
      <c r="AL9" s="262"/>
      <c r="AM9" s="2587"/>
      <c r="AO9" s="1540"/>
      <c r="AP9" s="1540" t="str">
        <f t="shared" si="0"/>
        <v/>
      </c>
      <c r="AQ9" s="1540"/>
      <c r="AR9" s="1540"/>
      <c r="AS9" s="1547">
        <v>0</v>
      </c>
    </row>
    <row r="10" spans="1:45" ht="15" hidden="1" customHeight="1">
      <c r="A10" s="1183"/>
      <c r="B10" s="1183"/>
      <c r="C10" s="1183"/>
      <c r="D10" s="1183"/>
      <c r="E10" s="2590"/>
      <c r="F10" s="2590"/>
      <c r="G10" s="2590"/>
      <c r="H10" s="2590"/>
      <c r="I10" s="2417"/>
      <c r="J10" s="2435"/>
      <c r="K10" s="1183"/>
      <c r="L10" s="1226"/>
      <c r="M10" s="1551"/>
      <c r="N10" s="1547"/>
      <c r="P10" s="2567"/>
      <c r="Q10" s="2567"/>
      <c r="R10" s="292"/>
      <c r="S10" s="1194"/>
      <c r="T10" s="225" t="s">
        <v>410</v>
      </c>
      <c r="U10" s="536"/>
      <c r="V10" s="536"/>
      <c r="W10" s="536"/>
      <c r="X10" s="536"/>
      <c r="Y10" s="536"/>
      <c r="Z10" s="536"/>
      <c r="AA10" s="536"/>
      <c r="AB10" s="536"/>
      <c r="AC10" s="536"/>
      <c r="AD10" s="536"/>
      <c r="AE10" s="536"/>
      <c r="AF10" s="536"/>
      <c r="AG10" s="536"/>
      <c r="AH10" s="536"/>
      <c r="AI10" s="536"/>
      <c r="AJ10" s="536"/>
      <c r="AK10" s="536"/>
      <c r="AL10" s="261"/>
      <c r="AM10" s="2588"/>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590"/>
      <c r="F11" s="2590"/>
      <c r="G11" s="2590"/>
      <c r="H11" s="2590"/>
      <c r="I11" s="2435"/>
      <c r="J11" s="1183"/>
      <c r="K11" s="1183"/>
      <c r="L11" s="1226"/>
      <c r="M11" s="1551"/>
      <c r="P11" s="2567"/>
      <c r="Q11" s="1863"/>
      <c r="R11" s="292"/>
      <c r="S11" s="1194"/>
      <c r="T11" s="224" t="s">
        <v>411</v>
      </c>
      <c r="U11" s="536"/>
      <c r="V11" s="536"/>
      <c r="W11" s="536"/>
      <c r="X11" s="536"/>
      <c r="Y11" s="536"/>
      <c r="Z11" s="536"/>
      <c r="AA11" s="536"/>
      <c r="AB11" s="536"/>
      <c r="AC11" s="302"/>
      <c r="AD11" s="536"/>
      <c r="AE11" s="536"/>
      <c r="AF11" s="536"/>
      <c r="AG11" s="536"/>
      <c r="AH11" s="536"/>
      <c r="AI11" s="536"/>
      <c r="AJ11" s="536"/>
      <c r="AK11" s="302"/>
      <c r="AL11" s="536"/>
      <c r="AM11" s="240"/>
      <c r="AO11" s="1540"/>
      <c r="AP11" s="1540" t="str">
        <f t="shared" si="0"/>
        <v>Добавить группу потребителей</v>
      </c>
      <c r="AQ11" s="1540"/>
      <c r="AR11" s="1540"/>
      <c r="AS11" s="1547">
        <v>0</v>
      </c>
    </row>
    <row r="12" spans="1:45" ht="14.25" hidden="1" customHeight="1">
      <c r="A12" s="1183"/>
      <c r="B12" s="1183"/>
      <c r="C12" s="1183"/>
      <c r="D12" s="1183"/>
      <c r="E12" s="2590"/>
      <c r="F12" s="2590"/>
      <c r="G12" s="2590"/>
      <c r="H12" s="2589"/>
      <c r="I12" s="1183"/>
      <c r="J12" s="1183"/>
      <c r="K12" s="1183"/>
      <c r="L12" s="1226"/>
      <c r="M12" s="1526"/>
      <c r="N12" s="1526"/>
      <c r="O12" s="1551"/>
      <c r="P12" s="296"/>
      <c r="Q12" s="311"/>
      <c r="R12" s="291"/>
      <c r="S12" s="1194"/>
      <c r="T12" s="301" t="s">
        <v>412</v>
      </c>
      <c r="U12" s="536"/>
      <c r="V12" s="536"/>
      <c r="W12" s="536"/>
      <c r="X12" s="536"/>
      <c r="Y12" s="536"/>
      <c r="Z12" s="536"/>
      <c r="AA12" s="536"/>
      <c r="AB12" s="536"/>
      <c r="AC12" s="302"/>
      <c r="AD12" s="536"/>
      <c r="AE12" s="536"/>
      <c r="AF12" s="536"/>
      <c r="AG12" s="536"/>
      <c r="AH12" s="536"/>
      <c r="AI12" s="536"/>
      <c r="AJ12" s="536"/>
      <c r="AK12" s="302"/>
      <c r="AL12" s="536"/>
      <c r="AM12" s="240"/>
      <c r="AO12" s="1540"/>
      <c r="AP12" s="1540" t="str">
        <f t="shared" si="0"/>
        <v>Добавить схему подключения</v>
      </c>
      <c r="AQ12" s="1540"/>
      <c r="AR12" s="1540"/>
      <c r="AS12" s="1547">
        <v>0</v>
      </c>
    </row>
    <row r="13" spans="1:45" s="2344" customFormat="1" ht="0.75" hidden="1" customHeight="1">
      <c r="A13" s="1290"/>
      <c r="B13" s="1290"/>
      <c r="C13" s="1290"/>
      <c r="D13" s="1290"/>
      <c r="E13" s="2590"/>
      <c r="F13" s="2590"/>
      <c r="G13" s="2589"/>
      <c r="H13" s="1290"/>
      <c r="I13" s="1290"/>
      <c r="J13" s="1290"/>
      <c r="K13" s="1290"/>
      <c r="L13" s="1293"/>
      <c r="M13" s="1294"/>
      <c r="N13" s="1294"/>
      <c r="O13" s="287"/>
      <c r="P13" s="1232"/>
      <c r="Q13" s="1233"/>
      <c r="R13" s="1232"/>
      <c r="S13" s="1234"/>
      <c r="T13" s="1235" t="s">
        <v>413</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2344" customFormat="1" ht="0.75" hidden="1" customHeight="1">
      <c r="A14" s="1290"/>
      <c r="B14" s="1290"/>
      <c r="C14" s="1290"/>
      <c r="D14" s="1290"/>
      <c r="E14" s="2590"/>
      <c r="F14" s="2589"/>
      <c r="G14" s="1290"/>
      <c r="H14" s="1290"/>
      <c r="I14" s="1290"/>
      <c r="J14" s="1290"/>
      <c r="K14" s="1290"/>
      <c r="L14" s="1293"/>
      <c r="M14" s="1295"/>
      <c r="N14" s="1295"/>
      <c r="O14" s="287"/>
      <c r="P14" s="1232"/>
      <c r="Q14" s="1233"/>
      <c r="R14" s="1232"/>
      <c r="S14" s="1238"/>
      <c r="T14" s="1239" t="s">
        <v>414</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2344" customFormat="1" ht="0.75" hidden="1" customHeight="1">
      <c r="A15" s="1290"/>
      <c r="B15" s="1290"/>
      <c r="C15" s="1290"/>
      <c r="D15" s="1290"/>
      <c r="E15" s="2589"/>
      <c r="F15" s="1290"/>
      <c r="G15" s="1290"/>
      <c r="H15" s="1290"/>
      <c r="I15" s="1290"/>
      <c r="J15" s="1290"/>
      <c r="K15" s="1290"/>
      <c r="L15" s="1293"/>
      <c r="M15" s="1295"/>
      <c r="N15" s="1295"/>
      <c r="O15" s="287"/>
      <c r="P15" s="1232"/>
      <c r="Q15" s="1233"/>
      <c r="R15" s="1232"/>
      <c r="S15" s="1238"/>
      <c r="T15" s="1241" t="s">
        <v>415</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561"/>
      <c r="AI17" s="2560" t="s">
        <v>62</v>
      </c>
      <c r="AJ17" s="2561"/>
      <c r="AK17" s="2560" t="s">
        <v>62</v>
      </c>
      <c r="AS17" s="1547">
        <v>0</v>
      </c>
    </row>
    <row r="18" spans="1:45" ht="14.25" hidden="1" customHeight="1">
      <c r="AD18" s="1276"/>
      <c r="AE18" s="1276"/>
      <c r="AF18" s="1276"/>
      <c r="AG18" s="265" t="str">
        <f>AH17&amp;"-"&amp;AJ17</f>
        <v>-</v>
      </c>
      <c r="AH18" s="2560"/>
      <c r="AI18" s="2560"/>
      <c r="AJ18" s="2560"/>
      <c r="AK18" s="2560"/>
      <c r="AS18" s="1547">
        <v>0</v>
      </c>
    </row>
    <row r="19" spans="1:45" ht="14.25" hidden="1" customHeight="1">
      <c r="AS19" s="1547">
        <v>0</v>
      </c>
    </row>
    <row r="20" spans="1:45" s="2357" customFormat="1" ht="22.5" hidden="1" customHeight="1">
      <c r="A20" s="1547"/>
      <c r="B20" s="1547"/>
      <c r="C20" s="1547"/>
      <c r="D20" s="1547"/>
      <c r="E20" s="1547"/>
      <c r="F20" s="1547"/>
      <c r="G20" s="1547"/>
      <c r="H20" s="1547"/>
      <c r="I20" s="1547"/>
      <c r="J20" s="1547"/>
      <c r="K20" s="1547"/>
      <c r="L20" s="1848"/>
      <c r="M20" s="1874"/>
      <c r="N20" s="1874"/>
      <c r="O20" s="1261" t="s">
        <v>416</v>
      </c>
      <c r="P20" s="1278"/>
      <c r="Q20" s="1287"/>
      <c r="R20" s="1287"/>
      <c r="S20" s="665"/>
      <c r="Z20" s="1283"/>
      <c r="AB20" s="1283"/>
      <c r="AH20" s="1283"/>
      <c r="AJ20" s="1283"/>
      <c r="AN20" s="1552"/>
      <c r="AO20" s="1552"/>
      <c r="AP20" s="1552"/>
      <c r="AQ20" s="1552"/>
      <c r="AR20" s="1552"/>
      <c r="AS20" s="1282">
        <v>0</v>
      </c>
    </row>
    <row r="21" spans="1:45" s="2357" customFormat="1" ht="14.25" hidden="1" customHeight="1">
      <c r="A21" s="1547"/>
      <c r="B21" s="1547"/>
      <c r="C21" s="1547"/>
      <c r="D21" s="1547"/>
      <c r="E21" s="1547"/>
      <c r="F21" s="1547"/>
      <c r="G21" s="1547"/>
      <c r="H21" s="1547"/>
      <c r="I21" s="1547"/>
      <c r="J21" s="1547"/>
      <c r="K21" s="1547"/>
      <c r="L21" s="1848"/>
      <c r="M21" s="1874"/>
      <c r="N21" s="1874"/>
      <c r="O21" s="1874"/>
      <c r="P21" s="1278"/>
      <c r="Q21" s="1287"/>
      <c r="R21" s="1287"/>
      <c r="S21" s="665"/>
      <c r="AN21" s="1552"/>
      <c r="AO21" s="1552"/>
      <c r="AP21" s="1552"/>
      <c r="AQ21" s="1552"/>
      <c r="AR21" s="1552"/>
      <c r="AS21" s="1282">
        <v>0</v>
      </c>
    </row>
    <row r="22" spans="1:45" s="2357" customFormat="1" ht="14.25" hidden="1" customHeight="1">
      <c r="A22" s="1547"/>
      <c r="B22" s="1547"/>
      <c r="C22" s="1547"/>
      <c r="D22" s="1547"/>
      <c r="E22" s="1547"/>
      <c r="F22" s="1547"/>
      <c r="G22" s="1547"/>
      <c r="H22" s="1547"/>
      <c r="I22" s="1547"/>
      <c r="J22" s="1547"/>
      <c r="K22" s="1547"/>
      <c r="L22" s="1848"/>
      <c r="M22" s="1874"/>
      <c r="N22" s="1874"/>
      <c r="O22" s="1226" t="s">
        <v>417</v>
      </c>
      <c r="P22" s="1278"/>
      <c r="Q22" s="1287"/>
      <c r="R22" s="1287"/>
      <c r="S22" s="665"/>
      <c r="T22" s="1282" t="s">
        <v>418</v>
      </c>
      <c r="AA22" s="531" t="s">
        <v>419</v>
      </c>
      <c r="AC22" s="531" t="s">
        <v>420</v>
      </c>
      <c r="AD22" s="1282" t="s">
        <v>418</v>
      </c>
      <c r="AI22" s="531" t="s">
        <v>421</v>
      </c>
      <c r="AK22" s="531" t="s">
        <v>420</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12"/>
      <c r="R25" s="312"/>
      <c r="S25" s="1191"/>
      <c r="T25" s="393"/>
      <c r="U25" s="393"/>
      <c r="V25" s="1551"/>
      <c r="W25" s="1551"/>
      <c r="X25" s="1551"/>
      <c r="Y25" s="1551"/>
      <c r="Z25" s="1551"/>
      <c r="AA25" s="1551"/>
      <c r="AB25" s="1551"/>
      <c r="AC25" s="1551"/>
      <c r="AD25" s="1551"/>
      <c r="AE25" s="1551"/>
      <c r="AF25" s="1551"/>
      <c r="AG25" s="1551"/>
      <c r="AH25" s="1551"/>
      <c r="AI25" s="1551"/>
      <c r="AJ25" s="1551"/>
      <c r="AK25" s="1551"/>
      <c r="AS25" s="1547">
        <v>14</v>
      </c>
    </row>
    <row r="26" spans="1:45" ht="14.65" customHeight="1">
      <c r="Q26" s="312"/>
      <c r="R26" s="312"/>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9"/>
      <c r="AS26" s="1547">
        <v>14</v>
      </c>
    </row>
    <row r="27" spans="1:45" ht="14.65" customHeight="1">
      <c r="Q27" s="312"/>
      <c r="R27" s="312"/>
      <c r="S27" s="2516" t="str">
        <f>IF(org=0,"Не определено",org)</f>
        <v>ООО "Пятигорсктеплосервис"</v>
      </c>
      <c r="T27" s="2516"/>
      <c r="U27" s="2516"/>
      <c r="V27" s="2516"/>
      <c r="W27" s="2516"/>
      <c r="X27" s="2516"/>
      <c r="Y27" s="2516"/>
      <c r="Z27" s="2516"/>
      <c r="AA27" s="2516"/>
      <c r="AB27" s="2516"/>
      <c r="AC27" s="2516"/>
      <c r="AD27" s="2516"/>
      <c r="AE27" s="2516"/>
      <c r="AF27" s="2516"/>
      <c r="AG27" s="2516"/>
      <c r="AH27" s="2516"/>
      <c r="AI27" s="2516"/>
      <c r="AJ27" s="2516"/>
      <c r="AK27" s="1159"/>
      <c r="AS27" s="1547">
        <v>14</v>
      </c>
    </row>
    <row r="28" spans="1:45" ht="14.25" hidden="1" customHeight="1">
      <c r="Q28" s="312"/>
      <c r="R28" s="312"/>
      <c r="S28" s="1191"/>
      <c r="T28" s="393"/>
      <c r="U28" s="393"/>
      <c r="V28" s="259"/>
      <c r="W28" s="259"/>
      <c r="X28" s="259"/>
      <c r="Y28" s="259"/>
      <c r="Z28" s="259"/>
      <c r="AA28" s="259"/>
      <c r="AB28" s="259"/>
      <c r="AC28" s="259"/>
      <c r="AD28" s="259"/>
      <c r="AE28" s="259"/>
      <c r="AF28" s="259"/>
      <c r="AG28" s="259"/>
      <c r="AH28" s="259"/>
      <c r="AI28" s="259"/>
      <c r="AJ28" s="259"/>
      <c r="AK28" s="259"/>
      <c r="AL28" s="1551"/>
      <c r="AS28" s="1547">
        <v>0</v>
      </c>
    </row>
    <row r="29" spans="1:45" s="2380" customFormat="1" ht="25.5" hidden="1" customHeight="1">
      <c r="A29" s="1164"/>
      <c r="B29" s="1164"/>
      <c r="C29" s="1164"/>
      <c r="D29" s="1164"/>
      <c r="E29" s="1164"/>
      <c r="F29" s="1164"/>
      <c r="G29" s="1164"/>
      <c r="H29" s="1164"/>
      <c r="I29" s="1164"/>
      <c r="J29" s="1164"/>
      <c r="K29" s="1164"/>
      <c r="L29" s="1296"/>
      <c r="M29" s="1164"/>
      <c r="N29" s="1164"/>
      <c r="O29" s="1164"/>
      <c r="S29" s="2554" t="s">
        <v>41</v>
      </c>
      <c r="T29" s="2554"/>
      <c r="U29" s="1288"/>
      <c r="V29" s="2556" t="str">
        <f>IF(TITLE_NAME_OR_PR_CHANGE="",IF(TITLE_NAME_OR_PR="","",TITLE_NAME_OR_PR),TITLE_NAME_OR_PR_CHANGE)</f>
        <v/>
      </c>
      <c r="W29" s="2556"/>
      <c r="X29" s="2556"/>
      <c r="Y29" s="2556"/>
      <c r="Z29" s="2556"/>
      <c r="AA29" s="2556"/>
      <c r="AB29" s="2556"/>
      <c r="AC29" s="1551"/>
      <c r="AD29" s="2556" t="str">
        <f>IF(TITLE_NAME_OR_PR_CHANGE="",IF(TITLE_NAME_OR_PR="","",TITLE_NAME_OR_PR),TITLE_NAME_OR_PR_CHANGE)</f>
        <v/>
      </c>
      <c r="AE29" s="2556"/>
      <c r="AF29" s="2556"/>
      <c r="AG29" s="2556"/>
      <c r="AH29" s="2556"/>
      <c r="AI29" s="2556"/>
      <c r="AJ29" s="2556"/>
      <c r="AK29" s="1551"/>
      <c r="AL29" s="1551"/>
      <c r="AM29" s="217"/>
      <c r="AN29" s="304"/>
      <c r="AO29" s="304"/>
      <c r="AP29" s="304"/>
      <c r="AQ29" s="304"/>
      <c r="AR29" s="304"/>
      <c r="AS29" s="354">
        <v>0</v>
      </c>
    </row>
    <row r="30" spans="1:45" s="2380" customFormat="1" ht="18.75" hidden="1" customHeight="1">
      <c r="A30" s="1164"/>
      <c r="B30" s="1164"/>
      <c r="C30" s="1164"/>
      <c r="D30" s="1164"/>
      <c r="E30" s="1164"/>
      <c r="F30" s="1164"/>
      <c r="G30" s="1164"/>
      <c r="H30" s="1164"/>
      <c r="I30" s="1164"/>
      <c r="J30" s="1164"/>
      <c r="K30" s="1164"/>
      <c r="L30" s="1296"/>
      <c r="M30" s="1164"/>
      <c r="N30" s="1164"/>
      <c r="O30" s="1164"/>
      <c r="S30" s="2554" t="s">
        <v>422</v>
      </c>
      <c r="T30" s="2554"/>
      <c r="U30" s="1288"/>
      <c r="V30" s="2555" t="str">
        <f>IF(TITLE_DATE_PR_CHANGE="",IF(TITLE_DATE_PR="","",TITLE_DATE_PR),TITLE_DATE_PR_CHANGE)</f>
        <v/>
      </c>
      <c r="W30" s="2555"/>
      <c r="X30" s="2555"/>
      <c r="Y30" s="2555"/>
      <c r="Z30" s="2555"/>
      <c r="AA30" s="2555"/>
      <c r="AB30" s="2555"/>
      <c r="AC30" s="1551"/>
      <c r="AD30" s="2555" t="str">
        <f>IF(TITLE_DATE_PR_CHANGE="",IF(TITLE_DATE_PR="","",TITLE_DATE_PR),TITLE_DATE_PR_CHANGE)</f>
        <v/>
      </c>
      <c r="AE30" s="2555"/>
      <c r="AF30" s="2555"/>
      <c r="AG30" s="2555"/>
      <c r="AH30" s="2555"/>
      <c r="AI30" s="2555"/>
      <c r="AJ30" s="2555"/>
      <c r="AK30" s="1551"/>
      <c r="AL30" s="1551"/>
      <c r="AM30" s="217"/>
      <c r="AN30" s="304"/>
      <c r="AO30" s="304"/>
      <c r="AP30" s="304"/>
      <c r="AQ30" s="304"/>
      <c r="AR30" s="304"/>
      <c r="AS30" s="354">
        <v>0</v>
      </c>
    </row>
    <row r="31" spans="1:45" s="2380" customFormat="1" ht="18.75" hidden="1" customHeight="1">
      <c r="A31" s="1164"/>
      <c r="B31" s="1164"/>
      <c r="C31" s="1164"/>
      <c r="D31" s="1164"/>
      <c r="E31" s="1164"/>
      <c r="F31" s="1164"/>
      <c r="G31" s="1164"/>
      <c r="H31" s="1164"/>
      <c r="I31" s="1164"/>
      <c r="J31" s="1164"/>
      <c r="K31" s="1164"/>
      <c r="L31" s="1296"/>
      <c r="M31" s="1164"/>
      <c r="N31" s="1164"/>
      <c r="O31" s="1164"/>
      <c r="S31" s="2554" t="s">
        <v>423</v>
      </c>
      <c r="T31" s="2554"/>
      <c r="U31" s="1288"/>
      <c r="V31" s="2556" t="str">
        <f>IF(TITLE_NUMBER_PR_CHANGE="",IF(TITLE_NUMBER_PR="","",TITLE_NUMBER_PR),TITLE_NUMBER_PR_CHANGE)</f>
        <v/>
      </c>
      <c r="W31" s="2556"/>
      <c r="X31" s="2556"/>
      <c r="Y31" s="2556"/>
      <c r="Z31" s="2556"/>
      <c r="AA31" s="2556"/>
      <c r="AB31" s="2556"/>
      <c r="AC31" s="1551"/>
      <c r="AD31" s="2556" t="str">
        <f>IF(TITLE_NUMBER_PR_CHANGE="",IF(TITLE_NUMBER_PR="","",TITLE_NUMBER_PR),TITLE_NUMBER_PR_CHANGE)</f>
        <v/>
      </c>
      <c r="AE31" s="2556"/>
      <c r="AF31" s="2556"/>
      <c r="AG31" s="2556"/>
      <c r="AH31" s="2556"/>
      <c r="AI31" s="2556"/>
      <c r="AJ31" s="2556"/>
      <c r="AK31" s="1551"/>
      <c r="AL31" s="1551"/>
      <c r="AM31" s="217"/>
      <c r="AN31" s="304"/>
      <c r="AO31" s="304"/>
      <c r="AP31" s="304"/>
      <c r="AQ31" s="304"/>
      <c r="AR31" s="304"/>
      <c r="AS31" s="354">
        <v>0</v>
      </c>
    </row>
    <row r="32" spans="1:45" s="2380" customFormat="1" ht="18.75" hidden="1" customHeight="1">
      <c r="A32" s="1164"/>
      <c r="B32" s="1164"/>
      <c r="C32" s="1164"/>
      <c r="D32" s="1164"/>
      <c r="E32" s="1164"/>
      <c r="F32" s="1164"/>
      <c r="G32" s="1164"/>
      <c r="H32" s="1164"/>
      <c r="I32" s="1164"/>
      <c r="J32" s="1164"/>
      <c r="K32" s="1164"/>
      <c r="L32" s="1296"/>
      <c r="M32" s="1164"/>
      <c r="N32" s="1164"/>
      <c r="O32" s="1164"/>
      <c r="S32" s="2554" t="s">
        <v>42</v>
      </c>
      <c r="T32" s="2554"/>
      <c r="U32" s="1288"/>
      <c r="V32" s="2556" t="str">
        <f>IF(TITLE_IST_PUB_CHANGE="",IF(TITLE_IST_PUB="","",TITLE_IST_PUB),TITLE_IST_PUB_CHANGE)</f>
        <v/>
      </c>
      <c r="W32" s="2556"/>
      <c r="X32" s="2556"/>
      <c r="Y32" s="2556"/>
      <c r="Z32" s="2556"/>
      <c r="AA32" s="2556"/>
      <c r="AB32" s="2556"/>
      <c r="AC32" s="1551"/>
      <c r="AD32" s="2556" t="str">
        <f>IF(TITLE_IST_PUB_CHANGE="",IF(TITLE_IST_PUB="","",TITLE_IST_PUB),TITLE_IST_PUB_CHANGE)</f>
        <v/>
      </c>
      <c r="AE32" s="2556"/>
      <c r="AF32" s="2556"/>
      <c r="AG32" s="2556"/>
      <c r="AH32" s="2556"/>
      <c r="AI32" s="2556"/>
      <c r="AJ32" s="2556"/>
      <c r="AK32" s="1551"/>
      <c r="AL32" s="1551"/>
      <c r="AM32" s="217"/>
      <c r="AN32" s="304"/>
      <c r="AO32" s="304"/>
      <c r="AP32" s="304"/>
      <c r="AQ32" s="304"/>
      <c r="AR32" s="304"/>
      <c r="AS32" s="354">
        <v>0</v>
      </c>
    </row>
    <row r="33" spans="1:45" ht="14.25" hidden="1" customHeight="1">
      <c r="Q33" s="312"/>
      <c r="R33" s="312"/>
      <c r="S33" s="1191"/>
      <c r="T33" s="393"/>
      <c r="U33" s="393"/>
      <c r="V33" s="259"/>
      <c r="W33" s="259"/>
      <c r="X33" s="259"/>
      <c r="Y33" s="259"/>
      <c r="Z33" s="259"/>
      <c r="AA33" s="259"/>
      <c r="AB33" s="259"/>
      <c r="AC33" s="259"/>
      <c r="AD33" s="259"/>
      <c r="AE33" s="259"/>
      <c r="AF33" s="259"/>
      <c r="AG33" s="259"/>
      <c r="AH33" s="259"/>
      <c r="AI33" s="259"/>
      <c r="AJ33" s="259"/>
      <c r="AK33" s="259"/>
      <c r="AL33" s="1551"/>
      <c r="AS33" s="1547">
        <v>0</v>
      </c>
    </row>
    <row r="34" spans="1:45" s="2380" customFormat="1" ht="18.75" hidden="1" customHeight="1">
      <c r="A34" s="1164"/>
      <c r="B34" s="1164"/>
      <c r="C34" s="1164"/>
      <c r="D34" s="1164"/>
      <c r="E34" s="1164"/>
      <c r="F34" s="1164"/>
      <c r="G34" s="1164"/>
      <c r="H34" s="1164"/>
      <c r="I34" s="1164"/>
      <c r="J34" s="1164"/>
      <c r="K34" s="1164"/>
      <c r="L34" s="1296"/>
      <c r="M34" s="1164"/>
      <c r="N34" s="1164"/>
      <c r="O34" s="1164"/>
      <c r="S34" s="2554" t="s">
        <v>424</v>
      </c>
      <c r="T34" s="2554"/>
      <c r="U34" s="1288"/>
      <c r="V34" s="2555" t="str">
        <f>IF(TITLE_DATE_PR_CHANGE="",IF(TITLE_DATE_PR="","",TITLE_DATE_PR),TITLE_DATE_PR_CHANGE)</f>
        <v/>
      </c>
      <c r="W34" s="2555"/>
      <c r="X34" s="2555"/>
      <c r="Y34" s="2555"/>
      <c r="Z34" s="2555"/>
      <c r="AA34" s="2555"/>
      <c r="AB34" s="2555"/>
      <c r="AC34" s="1551"/>
      <c r="AD34" s="2555" t="str">
        <f>IF(TITLE_DATE_PR_CHANGE="",IF(TITLE_DATE_PR="","",TITLE_DATE_PR),TITLE_DATE_PR_CHANGE)</f>
        <v/>
      </c>
      <c r="AE34" s="2555"/>
      <c r="AF34" s="2555"/>
      <c r="AG34" s="2555"/>
      <c r="AH34" s="2555"/>
      <c r="AI34" s="2555"/>
      <c r="AJ34" s="2555"/>
      <c r="AK34" s="1551"/>
      <c r="AL34" s="1551"/>
      <c r="AM34" s="217"/>
      <c r="AN34" s="304"/>
      <c r="AO34" s="304"/>
      <c r="AP34" s="304"/>
      <c r="AQ34" s="304"/>
      <c r="AR34" s="304"/>
      <c r="AS34" s="354">
        <v>0</v>
      </c>
    </row>
    <row r="35" spans="1:45" s="2380" customFormat="1" ht="18.75" hidden="1" customHeight="1">
      <c r="A35" s="1164"/>
      <c r="B35" s="1164"/>
      <c r="C35" s="1164"/>
      <c r="D35" s="1164"/>
      <c r="E35" s="1164"/>
      <c r="F35" s="1164"/>
      <c r="G35" s="1164"/>
      <c r="H35" s="1164"/>
      <c r="I35" s="1164"/>
      <c r="J35" s="1164"/>
      <c r="K35" s="1164"/>
      <c r="L35" s="1296"/>
      <c r="M35" s="1164"/>
      <c r="N35" s="1164"/>
      <c r="O35" s="1164"/>
      <c r="S35" s="2554" t="s">
        <v>425</v>
      </c>
      <c r="T35" s="2554"/>
      <c r="U35" s="1288"/>
      <c r="V35" s="2556" t="str">
        <f>IF(TITLE_NUMBER_PR_CHANGE="",IF(TITLE_NUMBER_PR="","",TITLE_NUMBER_PR),TITLE_NUMBER_PR_CHANGE)</f>
        <v/>
      </c>
      <c r="W35" s="2556"/>
      <c r="X35" s="2556"/>
      <c r="Y35" s="2556"/>
      <c r="Z35" s="2556"/>
      <c r="AA35" s="2556"/>
      <c r="AB35" s="2556"/>
      <c r="AC35" s="1551"/>
      <c r="AD35" s="2556" t="str">
        <f>IF(TITLE_NUMBER_PR_CHANGE="",IF(TITLE_NUMBER_PR="","",TITLE_NUMBER_PR),TITLE_NUMBER_PR_CHANGE)</f>
        <v/>
      </c>
      <c r="AE35" s="2556"/>
      <c r="AF35" s="2556"/>
      <c r="AG35" s="2556"/>
      <c r="AH35" s="2556"/>
      <c r="AI35" s="2556"/>
      <c r="AJ35" s="2556"/>
      <c r="AK35" s="1551"/>
      <c r="AL35" s="1551"/>
      <c r="AM35" s="217"/>
      <c r="AN35" s="304"/>
      <c r="AO35" s="304"/>
      <c r="AP35" s="304"/>
      <c r="AQ35" s="304"/>
      <c r="AR35" s="304"/>
      <c r="AS35" s="354">
        <v>0</v>
      </c>
    </row>
    <row r="36" spans="1:45" s="2380" customFormat="1" ht="0" hidden="1" customHeight="1">
      <c r="A36" s="1164"/>
      <c r="B36" s="1164"/>
      <c r="C36" s="1164"/>
      <c r="D36" s="1164"/>
      <c r="E36" s="1164"/>
      <c r="F36" s="1164"/>
      <c r="G36" s="1164"/>
      <c r="H36" s="1164"/>
      <c r="I36" s="1164"/>
      <c r="J36" s="1164"/>
      <c r="K36" s="1164"/>
      <c r="L36" s="1296"/>
      <c r="M36" s="1164"/>
      <c r="N36" s="1164"/>
      <c r="O36" s="1164"/>
      <c r="S36" s="1551"/>
      <c r="T36" s="1551"/>
      <c r="U36" s="1879"/>
      <c r="V36" s="1551"/>
      <c r="W36" s="1551"/>
      <c r="X36" s="1551"/>
      <c r="Y36" s="1551"/>
      <c r="Z36" s="1551"/>
      <c r="AA36" s="1551"/>
      <c r="AB36" s="1551"/>
      <c r="AC36" s="1558" t="s">
        <v>426</v>
      </c>
      <c r="AD36" s="1551"/>
      <c r="AE36" s="1551"/>
      <c r="AF36" s="1551"/>
      <c r="AG36" s="1551"/>
      <c r="AH36" s="1551"/>
      <c r="AI36" s="1551"/>
      <c r="AJ36" s="1551"/>
      <c r="AK36" s="1558" t="s">
        <v>426</v>
      </c>
      <c r="AN36" s="304"/>
      <c r="AO36" s="304"/>
      <c r="AP36" s="304"/>
      <c r="AQ36" s="304"/>
      <c r="AR36" s="304"/>
      <c r="AS36" s="354">
        <v>0</v>
      </c>
    </row>
    <row r="37" spans="1:45" ht="14.65" customHeight="1">
      <c r="Q37" s="312"/>
      <c r="R37" s="312"/>
      <c r="S37" s="1191"/>
      <c r="T37" s="393"/>
      <c r="U37" s="1160"/>
      <c r="V37" s="2575"/>
      <c r="W37" s="2575"/>
      <c r="X37" s="2575"/>
      <c r="Y37" s="2575"/>
      <c r="Z37" s="2575"/>
      <c r="AA37" s="2575"/>
      <c r="AB37" s="2575"/>
      <c r="AC37" s="2575"/>
      <c r="AD37" s="2575"/>
      <c r="AE37" s="2575"/>
      <c r="AF37" s="2575"/>
      <c r="AG37" s="2575"/>
      <c r="AH37" s="2575"/>
      <c r="AI37" s="2575"/>
      <c r="AJ37" s="2575"/>
      <c r="AK37" s="2575"/>
      <c r="AS37" s="1547">
        <v>14</v>
      </c>
    </row>
    <row r="38" spans="1:45" ht="14.65" customHeight="1">
      <c r="Q38" s="312"/>
      <c r="R38" s="312"/>
      <c r="S38" s="2435" t="s">
        <v>299</v>
      </c>
      <c r="T38" s="2435"/>
      <c r="U38" s="2435"/>
      <c r="V38" s="2435"/>
      <c r="W38" s="2435"/>
      <c r="X38" s="2435"/>
      <c r="Y38" s="2435"/>
      <c r="Z38" s="2435"/>
      <c r="AA38" s="2435"/>
      <c r="AB38" s="2435"/>
      <c r="AC38" s="2435"/>
      <c r="AD38" s="2435"/>
      <c r="AE38" s="2435"/>
      <c r="AF38" s="2435"/>
      <c r="AG38" s="2435"/>
      <c r="AH38" s="2435"/>
      <c r="AI38" s="2435"/>
      <c r="AJ38" s="2435"/>
      <c r="AK38" s="2435"/>
      <c r="AL38" s="2435"/>
      <c r="AM38" s="2435" t="s">
        <v>300</v>
      </c>
      <c r="AS38" s="1547">
        <v>14</v>
      </c>
    </row>
    <row r="39" spans="1:45" ht="14.65" customHeight="1">
      <c r="Q39" s="312"/>
      <c r="R39" s="312"/>
      <c r="S39" s="2576" t="s">
        <v>88</v>
      </c>
      <c r="T39" s="2524" t="s">
        <v>427</v>
      </c>
      <c r="U39" s="274"/>
      <c r="V39" s="2577" t="s">
        <v>428</v>
      </c>
      <c r="W39" s="2578"/>
      <c r="X39" s="2578"/>
      <c r="Y39" s="2578"/>
      <c r="Z39" s="2578"/>
      <c r="AA39" s="2578"/>
      <c r="AB39" s="2579"/>
      <c r="AC39" s="2580" t="s">
        <v>429</v>
      </c>
      <c r="AD39" s="2577" t="s">
        <v>428</v>
      </c>
      <c r="AE39" s="2578"/>
      <c r="AF39" s="2578"/>
      <c r="AG39" s="2578"/>
      <c r="AH39" s="2578"/>
      <c r="AI39" s="2578"/>
      <c r="AJ39" s="2579"/>
      <c r="AK39" s="2580" t="s">
        <v>430</v>
      </c>
      <c r="AL39" s="2583" t="s">
        <v>431</v>
      </c>
      <c r="AM39" s="2435"/>
      <c r="AS39" s="1547">
        <v>14</v>
      </c>
    </row>
    <row r="40" spans="1:45" ht="35.65" customHeight="1">
      <c r="Q40" s="312"/>
      <c r="R40" s="312"/>
      <c r="S40" s="2576"/>
      <c r="T40" s="2524"/>
      <c r="U40" s="953"/>
      <c r="V40" s="2494" t="s">
        <v>432</v>
      </c>
      <c r="W40" s="2572" t="s">
        <v>433</v>
      </c>
      <c r="X40" s="2417" t="s">
        <v>434</v>
      </c>
      <c r="Y40" s="2416"/>
      <c r="Z40" s="2417" t="s">
        <v>448</v>
      </c>
      <c r="AA40" s="2422"/>
      <c r="AB40" s="2416"/>
      <c r="AC40" s="2581"/>
      <c r="AD40" s="2494" t="s">
        <v>432</v>
      </c>
      <c r="AE40" s="2572" t="s">
        <v>433</v>
      </c>
      <c r="AF40" s="2417" t="s">
        <v>434</v>
      </c>
      <c r="AG40" s="2416"/>
      <c r="AH40" s="2417" t="s">
        <v>435</v>
      </c>
      <c r="AI40" s="2422"/>
      <c r="AJ40" s="2416"/>
      <c r="AK40" s="2581"/>
      <c r="AL40" s="2584"/>
      <c r="AM40" s="2435"/>
      <c r="AS40" s="1547">
        <v>34</v>
      </c>
    </row>
    <row r="41" spans="1:45" ht="35.65" customHeight="1">
      <c r="A41" s="1182"/>
      <c r="B41" s="1182" t="s">
        <v>136</v>
      </c>
      <c r="C41" s="1182" t="s">
        <v>137</v>
      </c>
      <c r="D41" s="1182" t="s">
        <v>138</v>
      </c>
      <c r="E41" s="1226" t="s">
        <v>436</v>
      </c>
      <c r="F41" s="1226" t="s">
        <v>437</v>
      </c>
      <c r="G41" s="1226" t="s">
        <v>438</v>
      </c>
      <c r="H41" s="1226" t="s">
        <v>439</v>
      </c>
      <c r="I41" s="1226" t="s">
        <v>440</v>
      </c>
      <c r="J41" s="1226" t="s">
        <v>441</v>
      </c>
      <c r="K41" s="1226" t="s">
        <v>442</v>
      </c>
      <c r="L41" s="1226" t="s">
        <v>417</v>
      </c>
      <c r="Q41" s="312"/>
      <c r="R41" s="312"/>
      <c r="S41" s="2576"/>
      <c r="T41" s="2524"/>
      <c r="U41" s="239"/>
      <c r="V41" s="2549"/>
      <c r="W41" s="2573"/>
      <c r="X41" s="1847" t="s">
        <v>443</v>
      </c>
      <c r="Y41" s="1847" t="s">
        <v>444</v>
      </c>
      <c r="Z41" s="1847" t="s">
        <v>445</v>
      </c>
      <c r="AA41" s="2529" t="s">
        <v>446</v>
      </c>
      <c r="AB41" s="2543"/>
      <c r="AC41" s="2582"/>
      <c r="AD41" s="2549"/>
      <c r="AE41" s="2573"/>
      <c r="AF41" s="1847" t="s">
        <v>443</v>
      </c>
      <c r="AG41" s="1847" t="s">
        <v>444</v>
      </c>
      <c r="AH41" s="1847" t="s">
        <v>445</v>
      </c>
      <c r="AI41" s="2529" t="s">
        <v>446</v>
      </c>
      <c r="AJ41" s="2543"/>
      <c r="AK41" s="2582"/>
      <c r="AL41" s="2585"/>
      <c r="AM41" s="2435"/>
      <c r="AS41" s="1547">
        <v>34</v>
      </c>
    </row>
    <row r="42" spans="1:45" s="2335" customFormat="1" ht="11.25" hidden="1" customHeight="1">
      <c r="A42" s="1182"/>
      <c r="B42" s="1182"/>
      <c r="C42" s="1182"/>
      <c r="D42" s="1182"/>
      <c r="E42" s="1182"/>
      <c r="F42" s="1182"/>
      <c r="G42" s="1182"/>
      <c r="H42" s="1182"/>
      <c r="I42" s="1182"/>
      <c r="J42" s="1182"/>
      <c r="K42" s="1182"/>
      <c r="L42" s="1226"/>
      <c r="M42" s="1874"/>
      <c r="N42" s="1874"/>
      <c r="O42" s="1874"/>
      <c r="P42" s="1162"/>
      <c r="Q42" s="1163"/>
      <c r="R42" s="1170">
        <v>1</v>
      </c>
      <c r="S42" s="1193" t="s">
        <v>109</v>
      </c>
      <c r="T42" s="1171" t="s">
        <v>110</v>
      </c>
      <c r="U42" s="1161" t="str">
        <f ca="1">OFFSET(U42,0,-1)</f>
        <v>2</v>
      </c>
      <c r="V42" s="1865">
        <f ca="1">OFFSET(V42,0,-1)+1</f>
        <v>3</v>
      </c>
      <c r="W42" s="1865"/>
      <c r="X42" s="1865">
        <f ca="1">OFFSET(X42,0,-1)+1</f>
        <v>1</v>
      </c>
      <c r="Y42" s="1865">
        <f ca="1">OFFSET(Y42,0,-1)+1</f>
        <v>2</v>
      </c>
      <c r="Z42" s="1865">
        <f ca="1">OFFSET(Z42,0,-1)+1</f>
        <v>3</v>
      </c>
      <c r="AA42" s="2574">
        <f ca="1">OFFSET(AA42,0,-1)+1</f>
        <v>4</v>
      </c>
      <c r="AB42" s="2574"/>
      <c r="AC42" s="1865">
        <f ca="1">OFFSET(AC42,0,-2)+1</f>
        <v>5</v>
      </c>
      <c r="AD42" s="1865">
        <f ca="1">OFFSET(AD42,0,-1)+1</f>
        <v>6</v>
      </c>
      <c r="AE42" s="1865"/>
      <c r="AF42" s="1865">
        <f ca="1">OFFSET(AF42,0,-1)+1</f>
        <v>1</v>
      </c>
      <c r="AG42" s="1865">
        <f ca="1">OFFSET(AG42,0,-1)+1</f>
        <v>2</v>
      </c>
      <c r="AH42" s="1865">
        <f ca="1">OFFSET(AH42,0,-1)+1</f>
        <v>3</v>
      </c>
      <c r="AI42" s="2574">
        <f ca="1">OFFSET(AI42,0,-1)+1</f>
        <v>4</v>
      </c>
      <c r="AJ42" s="2574"/>
      <c r="AK42" s="1865">
        <f ca="1">OFFSET(AK42,0,-2)+1</f>
        <v>5</v>
      </c>
      <c r="AL42" s="1161">
        <f ca="1">OFFSET(AL42,0,-1)</f>
        <v>5</v>
      </c>
      <c r="AM42" s="1865">
        <f ca="1">OFFSET(AM42,0,-1)+1</f>
        <v>6</v>
      </c>
      <c r="AN42" s="1552"/>
      <c r="AO42" s="1552"/>
      <c r="AP42" s="1552"/>
      <c r="AQ42" s="1552"/>
      <c r="AR42" s="1552"/>
      <c r="AS42" s="1557">
        <v>0</v>
      </c>
    </row>
    <row r="43" spans="1:45" ht="21.95" customHeight="1">
      <c r="A43" s="1183" t="s">
        <v>211</v>
      </c>
      <c r="B43" s="1183"/>
      <c r="C43" s="1183"/>
      <c r="D43" s="1183"/>
      <c r="E43" s="2589">
        <v>1</v>
      </c>
      <c r="F43" s="1183"/>
      <c r="G43" s="1183"/>
      <c r="H43" s="1183"/>
      <c r="I43" s="1183"/>
      <c r="J43" s="1183"/>
      <c r="K43" s="1183"/>
      <c r="L43" s="1226"/>
      <c r="M43" s="1526"/>
      <c r="N43" s="1526"/>
      <c r="O43" s="1526"/>
      <c r="P43" s="1506"/>
      <c r="Q43" s="296"/>
      <c r="R43" s="291"/>
      <c r="S43" s="1867">
        <f>INDEX(PT_DIFFERENTIATION_NUM_NTAR,MATCH(A43,PT_DIFFERENTIATION_NTAR_ID,0))</f>
        <v>0</v>
      </c>
      <c r="T43" s="1441" t="s">
        <v>124</v>
      </c>
      <c r="U43" s="237"/>
      <c r="V43" s="2557"/>
      <c r="W43" s="2558"/>
      <c r="X43" s="2558"/>
      <c r="Y43" s="2558"/>
      <c r="Z43" s="2558"/>
      <c r="AA43" s="2558"/>
      <c r="AB43" s="2558"/>
      <c r="AC43" s="2559"/>
      <c r="AD43" s="2557" t="str">
        <f>INDEX(PT_DIFFERENTIATION_NTAR,MATCH(A43,PT_DIFFERENTIATION_NTAR_ID,0))</f>
        <v/>
      </c>
      <c r="AE43" s="2558"/>
      <c r="AF43" s="2558"/>
      <c r="AG43" s="2558"/>
      <c r="AH43" s="2558"/>
      <c r="AI43" s="2558"/>
      <c r="AJ43" s="2558"/>
      <c r="AK43" s="2558"/>
      <c r="AL43" s="255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211</v>
      </c>
      <c r="B44" s="1183" t="s">
        <v>212</v>
      </c>
      <c r="C44" s="1183"/>
      <c r="D44" s="1183"/>
      <c r="E44" s="2590"/>
      <c r="F44" s="2589">
        <v>1</v>
      </c>
      <c r="G44" s="1183"/>
      <c r="H44" s="1183"/>
      <c r="I44" s="1183"/>
      <c r="J44" s="1183"/>
      <c r="K44" s="1183"/>
      <c r="L44" s="1226"/>
      <c r="M44" s="1526"/>
      <c r="N44" s="1526"/>
      <c r="O44" s="1526"/>
      <c r="P44" s="1849"/>
      <c r="Q44" s="288"/>
      <c r="R44" s="289"/>
      <c r="S44" s="1867" t="str">
        <f>INDEX(PT_DIFFERENTIATION_NUM_TER,MATCH(B44,PT_DIFFERENTIATION_TER_ID,0))</f>
        <v>.</v>
      </c>
      <c r="T44" s="1438" t="s">
        <v>396</v>
      </c>
      <c r="U44" s="237"/>
      <c r="V44" s="2557"/>
      <c r="W44" s="2558"/>
      <c r="X44" s="2558"/>
      <c r="Y44" s="2558"/>
      <c r="Z44" s="2558"/>
      <c r="AA44" s="2558"/>
      <c r="AB44" s="2558"/>
      <c r="AC44" s="2559"/>
      <c r="AD44" s="2557" t="str">
        <f>INDEX(PT_DIFFERENTIATION_TER,MATCH(B44,PT_DIFFERENTIATION_TER_ID,0))</f>
        <v/>
      </c>
      <c r="AE44" s="2558"/>
      <c r="AF44" s="2558"/>
      <c r="AG44" s="2558"/>
      <c r="AH44" s="2558"/>
      <c r="AI44" s="2558"/>
      <c r="AJ44" s="2558"/>
      <c r="AK44" s="2558"/>
      <c r="AL44" s="2559"/>
      <c r="AM44" s="1174" t="s">
        <v>397</v>
      </c>
      <c r="AO44" s="1540"/>
      <c r="AP44" s="1540" t="str">
        <f t="shared" si="1"/>
        <v>Территория действия тарифа</v>
      </c>
      <c r="AQ44" s="1540"/>
      <c r="AR44" s="1540"/>
      <c r="AS44" s="1547">
        <v>21</v>
      </c>
    </row>
    <row r="45" spans="1:45" ht="24" customHeight="1">
      <c r="A45" s="1183" t="s">
        <v>211</v>
      </c>
      <c r="B45" s="1183" t="s">
        <v>212</v>
      </c>
      <c r="C45" s="1183" t="s">
        <v>213</v>
      </c>
      <c r="D45" s="1183"/>
      <c r="E45" s="2590"/>
      <c r="F45" s="2590"/>
      <c r="G45" s="2589">
        <v>1</v>
      </c>
      <c r="H45" s="1183"/>
      <c r="I45" s="1183"/>
      <c r="J45" s="1183"/>
      <c r="K45" s="1183"/>
      <c r="L45" s="1226"/>
      <c r="M45" s="1526"/>
      <c r="N45" s="1526"/>
      <c r="O45" s="1526"/>
      <c r="P45" s="290"/>
      <c r="Q45" s="288"/>
      <c r="R45" s="289"/>
      <c r="S45" s="1867" t="str">
        <f>INDEX(PT_DIFFERENTIATION_NUM_CS,MATCH(C45,PT_DIFFERENTIATION_CS_ID,0))</f>
        <v>..</v>
      </c>
      <c r="T45" s="246" t="s">
        <v>398</v>
      </c>
      <c r="U45" s="237"/>
      <c r="V45" s="2557"/>
      <c r="W45" s="2558"/>
      <c r="X45" s="2558"/>
      <c r="Y45" s="2558"/>
      <c r="Z45" s="2558"/>
      <c r="AA45" s="2558"/>
      <c r="AB45" s="2558"/>
      <c r="AC45" s="2559"/>
      <c r="AD45" s="2557" t="str">
        <f>INDEX(PT_DIFFERENTIATION_CS,MATCH(C45,PT_DIFFERENTIATION_CS_ID,0))</f>
        <v/>
      </c>
      <c r="AE45" s="2558"/>
      <c r="AF45" s="2558"/>
      <c r="AG45" s="2558"/>
      <c r="AH45" s="2558"/>
      <c r="AI45" s="2558"/>
      <c r="AJ45" s="2558"/>
      <c r="AK45" s="2558"/>
      <c r="AL45" s="2559"/>
      <c r="AM45" s="1174" t="s">
        <v>399</v>
      </c>
      <c r="AO45" s="1540"/>
      <c r="AP45" s="1540" t="str">
        <f t="shared" si="1"/>
        <v xml:space="preserve">Наименование системы теплоснабжения </v>
      </c>
      <c r="AQ45" s="1540"/>
      <c r="AR45" s="1540"/>
      <c r="AS45" s="1547">
        <v>23</v>
      </c>
    </row>
    <row r="46" spans="1:45" ht="21.95" customHeight="1">
      <c r="A46" s="1183" t="s">
        <v>211</v>
      </c>
      <c r="B46" s="1183" t="s">
        <v>212</v>
      </c>
      <c r="C46" s="1183" t="s">
        <v>213</v>
      </c>
      <c r="D46" s="1183" t="s">
        <v>214</v>
      </c>
      <c r="E46" s="2590"/>
      <c r="F46" s="2590"/>
      <c r="G46" s="2590"/>
      <c r="H46" s="2589">
        <v>1</v>
      </c>
      <c r="I46" s="1183"/>
      <c r="J46" s="1183"/>
      <c r="K46" s="1183"/>
      <c r="L46" s="1226"/>
      <c r="M46" s="1526"/>
      <c r="N46" s="1526"/>
      <c r="O46" s="1526"/>
      <c r="P46" s="290"/>
      <c r="Q46" s="288"/>
      <c r="R46" s="289"/>
      <c r="S46" s="1867" t="str">
        <f>INDEX(PT_DIFFERENTIATION_NUM_IST_TE,MATCH(D46,PT_DIFFERENTIATION_IST_TE_ID,0))</f>
        <v>...</v>
      </c>
      <c r="T46" s="247" t="s">
        <v>400</v>
      </c>
      <c r="U46" s="237"/>
      <c r="V46" s="2557"/>
      <c r="W46" s="2558"/>
      <c r="X46" s="2558"/>
      <c r="Y46" s="2558"/>
      <c r="Z46" s="2558"/>
      <c r="AA46" s="2558"/>
      <c r="AB46" s="2558"/>
      <c r="AC46" s="2559"/>
      <c r="AD46" s="2557" t="str">
        <f>INDEX(PT_DIFFERENTIATION_IST_TE,MATCH(D46,PT_DIFFERENTIATION_IST_TE_ID,0))</f>
        <v/>
      </c>
      <c r="AE46" s="2558"/>
      <c r="AF46" s="2558"/>
      <c r="AG46" s="2558"/>
      <c r="AH46" s="2558"/>
      <c r="AI46" s="2558"/>
      <c r="AJ46" s="2558"/>
      <c r="AK46" s="2558"/>
      <c r="AL46" s="2559"/>
      <c r="AM46" s="1174" t="s">
        <v>401</v>
      </c>
      <c r="AO46" s="1540"/>
      <c r="AP46" s="1540" t="str">
        <f t="shared" si="1"/>
        <v xml:space="preserve">Источник тепловой энергии  </v>
      </c>
      <c r="AQ46" s="1540"/>
      <c r="AR46" s="1540"/>
      <c r="AS46" s="1547">
        <v>21</v>
      </c>
    </row>
    <row r="47" spans="1:45" ht="49.5" customHeight="1">
      <c r="A47" s="1183" t="s">
        <v>211</v>
      </c>
      <c r="B47" s="1183" t="s">
        <v>212</v>
      </c>
      <c r="C47" s="1183" t="s">
        <v>213</v>
      </c>
      <c r="D47" s="1183" t="s">
        <v>214</v>
      </c>
      <c r="E47" s="2590"/>
      <c r="F47" s="2590"/>
      <c r="G47" s="2590"/>
      <c r="H47" s="2590"/>
      <c r="I47" s="2435" t="str">
        <f>S46&amp;".1"</f>
        <v>....1</v>
      </c>
      <c r="J47" s="1183"/>
      <c r="K47" s="1183"/>
      <c r="L47" s="1226" t="s">
        <v>402</v>
      </c>
      <c r="P47" s="2567">
        <v>1</v>
      </c>
      <c r="Q47" s="1863"/>
      <c r="R47" s="292"/>
      <c r="S47" s="1867" t="str">
        <f>$I47</f>
        <v>....1</v>
      </c>
      <c r="T47" s="222" t="s">
        <v>403</v>
      </c>
      <c r="U47" s="237"/>
      <c r="V47" s="2551"/>
      <c r="W47" s="2552"/>
      <c r="X47" s="2552"/>
      <c r="Y47" s="2552"/>
      <c r="Z47" s="2552"/>
      <c r="AA47" s="2552"/>
      <c r="AB47" s="2552"/>
      <c r="AC47" s="2553"/>
      <c r="AD47" s="2551"/>
      <c r="AE47" s="2552"/>
      <c r="AF47" s="2552"/>
      <c r="AG47" s="2552"/>
      <c r="AH47" s="2552"/>
      <c r="AI47" s="2552"/>
      <c r="AJ47" s="2552"/>
      <c r="AK47" s="2552"/>
      <c r="AL47" s="2553"/>
      <c r="AM47" s="1174" t="s">
        <v>404</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211</v>
      </c>
      <c r="B48" s="1183" t="s">
        <v>212</v>
      </c>
      <c r="C48" s="1183" t="s">
        <v>213</v>
      </c>
      <c r="D48" s="1183" t="s">
        <v>214</v>
      </c>
      <c r="E48" s="2590"/>
      <c r="F48" s="2590"/>
      <c r="G48" s="2590"/>
      <c r="H48" s="2590"/>
      <c r="I48" s="2417"/>
      <c r="J48" s="2435" t="str">
        <f>I47&amp;".1"</f>
        <v>....1.1</v>
      </c>
      <c r="K48" s="1183"/>
      <c r="L48" s="1226" t="s">
        <v>405</v>
      </c>
      <c r="P48" s="2567"/>
      <c r="Q48" s="2567">
        <v>1</v>
      </c>
      <c r="R48" s="293"/>
      <c r="S48" s="1867" t="str">
        <f>$J48</f>
        <v>....1.1</v>
      </c>
      <c r="T48" s="223" t="s">
        <v>406</v>
      </c>
      <c r="U48" s="237"/>
      <c r="V48" s="2551"/>
      <c r="W48" s="2552"/>
      <c r="X48" s="2552"/>
      <c r="Y48" s="2552"/>
      <c r="Z48" s="2552"/>
      <c r="AA48" s="2552"/>
      <c r="AB48" s="2552"/>
      <c r="AC48" s="2553"/>
      <c r="AD48" s="2551"/>
      <c r="AE48" s="2552"/>
      <c r="AF48" s="2552"/>
      <c r="AG48" s="2552"/>
      <c r="AH48" s="2552"/>
      <c r="AI48" s="2552"/>
      <c r="AJ48" s="2552"/>
      <c r="AK48" s="2552"/>
      <c r="AL48" s="2553"/>
      <c r="AM48" s="1174" t="s">
        <v>407</v>
      </c>
      <c r="AO48" s="1540"/>
      <c r="AP48" s="1540" t="str">
        <f t="shared" si="1"/>
        <v>Группа потребителей</v>
      </c>
      <c r="AQ48" s="1540"/>
      <c r="AR48" s="1540"/>
      <c r="AS48" s="1547">
        <v>21</v>
      </c>
    </row>
    <row r="49" spans="1:45" ht="21.95" customHeight="1">
      <c r="A49" s="1183" t="s">
        <v>211</v>
      </c>
      <c r="B49" s="1183" t="s">
        <v>212</v>
      </c>
      <c r="C49" s="1183" t="s">
        <v>213</v>
      </c>
      <c r="D49" s="1183" t="s">
        <v>214</v>
      </c>
      <c r="E49" s="2590"/>
      <c r="F49" s="2590"/>
      <c r="G49" s="2590"/>
      <c r="H49" s="2590"/>
      <c r="I49" s="2417"/>
      <c r="J49" s="2417"/>
      <c r="K49" s="2435" t="str">
        <f>J48&amp;".1"</f>
        <v>....1.1.1</v>
      </c>
      <c r="L49" s="1226" t="s">
        <v>408</v>
      </c>
      <c r="P49" s="2567"/>
      <c r="Q49" s="2567"/>
      <c r="R49" s="293">
        <v>1</v>
      </c>
      <c r="S49" s="1867" t="str">
        <f>$K49</f>
        <v>....1.1.1</v>
      </c>
      <c r="T49" s="1263"/>
      <c r="U49" s="237"/>
      <c r="V49" s="687"/>
      <c r="W49" s="262"/>
      <c r="X49" s="687"/>
      <c r="Y49" s="1173"/>
      <c r="Z49" s="2568"/>
      <c r="AA49" s="2445" t="s">
        <v>62</v>
      </c>
      <c r="AB49" s="2568"/>
      <c r="AC49" s="2445" t="s">
        <v>62</v>
      </c>
      <c r="AD49" s="687"/>
      <c r="AE49" s="262"/>
      <c r="AF49" s="687"/>
      <c r="AG49" s="1173"/>
      <c r="AH49" s="2568"/>
      <c r="AI49" s="2445" t="s">
        <v>62</v>
      </c>
      <c r="AJ49" s="2570"/>
      <c r="AK49" s="2445" t="s">
        <v>62</v>
      </c>
      <c r="AL49" s="1264"/>
      <c r="AM49" s="2586" t="s">
        <v>409</v>
      </c>
      <c r="AN49" s="1552" t="e">
        <f ca="1">STRCHECKDATE(V50:AL50)</f>
        <v>#NAME?</v>
      </c>
      <c r="AO49" s="1540"/>
      <c r="AP49" s="1540" t="str">
        <f t="shared" si="1"/>
        <v/>
      </c>
      <c r="AQ49" s="1540"/>
      <c r="AR49" s="1540"/>
      <c r="AS49" s="1547">
        <v>21</v>
      </c>
    </row>
    <row r="50" spans="1:45" ht="1.1499999999999999" customHeight="1">
      <c r="A50" s="1183" t="s">
        <v>211</v>
      </c>
      <c r="B50" s="1183" t="s">
        <v>212</v>
      </c>
      <c r="C50" s="1183" t="s">
        <v>213</v>
      </c>
      <c r="D50" s="1183" t="s">
        <v>214</v>
      </c>
      <c r="E50" s="2590"/>
      <c r="F50" s="2590"/>
      <c r="G50" s="2590"/>
      <c r="H50" s="2590"/>
      <c r="I50" s="2417"/>
      <c r="J50" s="2417"/>
      <c r="K50" s="2435"/>
      <c r="L50" s="1226"/>
      <c r="P50" s="2567"/>
      <c r="Q50" s="2567"/>
      <c r="R50" s="293"/>
      <c r="S50" s="1876"/>
      <c r="T50" s="237"/>
      <c r="U50" s="237"/>
      <c r="V50" s="262"/>
      <c r="W50" s="262"/>
      <c r="X50" s="262"/>
      <c r="Y50" s="265" t="str">
        <f>Z49&amp;"-"&amp;AB49</f>
        <v>-</v>
      </c>
      <c r="Z50" s="2569"/>
      <c r="AA50" s="2445"/>
      <c r="AB50" s="2569"/>
      <c r="AC50" s="2445"/>
      <c r="AD50" s="262"/>
      <c r="AE50" s="262"/>
      <c r="AF50" s="262"/>
      <c r="AG50" s="265" t="str">
        <f>AH49&amp;"-"&amp;AJ49</f>
        <v>-</v>
      </c>
      <c r="AH50" s="2569"/>
      <c r="AI50" s="2445"/>
      <c r="AJ50" s="2571"/>
      <c r="AK50" s="2445"/>
      <c r="AL50" s="1265"/>
      <c r="AM50" s="2587"/>
      <c r="AO50" s="1540"/>
      <c r="AP50" s="1540" t="str">
        <f t="shared" si="1"/>
        <v/>
      </c>
      <c r="AQ50" s="1540"/>
      <c r="AR50" s="1540"/>
      <c r="AS50" s="1547">
        <v>1</v>
      </c>
    </row>
    <row r="51" spans="1:45" ht="11.45" customHeight="1">
      <c r="A51" s="1183" t="s">
        <v>211</v>
      </c>
      <c r="B51" s="1183" t="s">
        <v>212</v>
      </c>
      <c r="C51" s="1183" t="s">
        <v>213</v>
      </c>
      <c r="D51" s="1183" t="s">
        <v>214</v>
      </c>
      <c r="E51" s="2590"/>
      <c r="F51" s="2590"/>
      <c r="G51" s="2590"/>
      <c r="H51" s="2590"/>
      <c r="I51" s="2417"/>
      <c r="J51" s="2435"/>
      <c r="K51" s="1183"/>
      <c r="L51" s="1226"/>
      <c r="P51" s="2567"/>
      <c r="Q51" s="2567"/>
      <c r="R51" s="292"/>
      <c r="S51" s="1194"/>
      <c r="T51" s="225" t="s">
        <v>410</v>
      </c>
      <c r="U51" s="536"/>
      <c r="V51" s="536"/>
      <c r="W51" s="536"/>
      <c r="X51" s="536"/>
      <c r="Y51" s="536"/>
      <c r="Z51" s="536"/>
      <c r="AA51" s="536"/>
      <c r="AB51" s="536"/>
      <c r="AC51" s="536"/>
      <c r="AD51" s="536"/>
      <c r="AE51" s="536"/>
      <c r="AF51" s="536"/>
      <c r="AG51" s="536"/>
      <c r="AH51" s="536"/>
      <c r="AI51" s="536"/>
      <c r="AJ51" s="536"/>
      <c r="AK51" s="536"/>
      <c r="AL51" s="261"/>
      <c r="AM51" s="2588"/>
      <c r="AO51" s="1540"/>
      <c r="AP51" s="1540" t="str">
        <f t="shared" si="1"/>
        <v>Добавить вид теплоносителя (параметры теплоносителя)</v>
      </c>
      <c r="AQ51" s="1540"/>
      <c r="AR51" s="1540"/>
      <c r="AS51" s="1547">
        <v>11</v>
      </c>
    </row>
    <row r="52" spans="1:45" ht="11.45" customHeight="1">
      <c r="A52" s="1183" t="s">
        <v>211</v>
      </c>
      <c r="B52" s="1183" t="s">
        <v>212</v>
      </c>
      <c r="C52" s="1183" t="s">
        <v>213</v>
      </c>
      <c r="D52" s="1183" t="s">
        <v>214</v>
      </c>
      <c r="E52" s="2590"/>
      <c r="F52" s="2590"/>
      <c r="G52" s="2590"/>
      <c r="H52" s="2590"/>
      <c r="I52" s="2435"/>
      <c r="J52" s="1183"/>
      <c r="K52" s="1183"/>
      <c r="L52" s="1226"/>
      <c r="P52" s="2567"/>
      <c r="Q52" s="1863"/>
      <c r="R52" s="292"/>
      <c r="S52" s="1194"/>
      <c r="T52" s="224" t="s">
        <v>411</v>
      </c>
      <c r="U52" s="536"/>
      <c r="V52" s="536"/>
      <c r="W52" s="536"/>
      <c r="X52" s="536"/>
      <c r="Y52" s="536"/>
      <c r="Z52" s="536"/>
      <c r="AA52" s="536"/>
      <c r="AB52" s="536"/>
      <c r="AC52" s="302"/>
      <c r="AD52" s="536"/>
      <c r="AE52" s="536"/>
      <c r="AF52" s="536"/>
      <c r="AG52" s="536"/>
      <c r="AH52" s="536"/>
      <c r="AI52" s="536"/>
      <c r="AJ52" s="536"/>
      <c r="AK52" s="302"/>
      <c r="AL52" s="536"/>
      <c r="AM52" s="240"/>
      <c r="AO52" s="1540"/>
      <c r="AP52" s="1540" t="str">
        <f t="shared" si="1"/>
        <v>Добавить группу потребителей</v>
      </c>
      <c r="AQ52" s="1540"/>
      <c r="AR52" s="1540"/>
      <c r="AS52" s="1547">
        <v>11</v>
      </c>
    </row>
    <row r="53" spans="1:45" ht="14.65" customHeight="1">
      <c r="A53" s="1183" t="s">
        <v>211</v>
      </c>
      <c r="B53" s="1183" t="s">
        <v>212</v>
      </c>
      <c r="C53" s="1183" t="s">
        <v>213</v>
      </c>
      <c r="D53" s="1183" t="s">
        <v>214</v>
      </c>
      <c r="E53" s="2590"/>
      <c r="F53" s="2590"/>
      <c r="G53" s="2590"/>
      <c r="H53" s="2589"/>
      <c r="I53" s="1183"/>
      <c r="J53" s="1183"/>
      <c r="K53" s="1183"/>
      <c r="L53" s="1226"/>
      <c r="M53" s="1526"/>
      <c r="N53" s="1526"/>
      <c r="O53" s="1551"/>
      <c r="P53" s="296"/>
      <c r="Q53" s="311"/>
      <c r="R53" s="291"/>
      <c r="S53" s="1194"/>
      <c r="T53" s="301" t="s">
        <v>412</v>
      </c>
      <c r="U53" s="536"/>
      <c r="V53" s="536"/>
      <c r="W53" s="536"/>
      <c r="X53" s="536"/>
      <c r="Y53" s="536"/>
      <c r="Z53" s="536"/>
      <c r="AA53" s="536"/>
      <c r="AB53" s="536"/>
      <c r="AC53" s="302"/>
      <c r="AD53" s="536"/>
      <c r="AE53" s="536"/>
      <c r="AF53" s="536"/>
      <c r="AG53" s="536"/>
      <c r="AH53" s="536"/>
      <c r="AI53" s="536"/>
      <c r="AJ53" s="536"/>
      <c r="AK53" s="302"/>
      <c r="AL53" s="536"/>
      <c r="AM53" s="240"/>
      <c r="AO53" s="1540"/>
      <c r="AP53" s="1540" t="str">
        <f t="shared" si="1"/>
        <v>Добавить схему подключения</v>
      </c>
      <c r="AQ53" s="1540"/>
      <c r="AR53" s="1540"/>
      <c r="AS53" s="1547">
        <v>14</v>
      </c>
    </row>
    <row r="54" spans="1:45" s="2344" customFormat="1" ht="4.1500000000000004" customHeight="1">
      <c r="A54" s="1291" t="s">
        <v>211</v>
      </c>
      <c r="B54" s="1291" t="s">
        <v>212</v>
      </c>
      <c r="C54" s="1291" t="s">
        <v>213</v>
      </c>
      <c r="D54" s="1290"/>
      <c r="E54" s="2590"/>
      <c r="F54" s="2590"/>
      <c r="G54" s="2589"/>
      <c r="H54" s="1290"/>
      <c r="I54" s="1290"/>
      <c r="J54" s="1290"/>
      <c r="K54" s="1290"/>
      <c r="L54" s="1293"/>
      <c r="M54" s="1294"/>
      <c r="N54" s="1294"/>
      <c r="O54" s="287"/>
      <c r="P54" s="1232"/>
      <c r="Q54" s="1233"/>
      <c r="R54" s="1232"/>
      <c r="S54" s="1238"/>
      <c r="T54" s="1241" t="s">
        <v>413</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4</v>
      </c>
    </row>
    <row r="55" spans="1:45" s="2344" customFormat="1" ht="4.1500000000000004" customHeight="1">
      <c r="A55" s="1291" t="s">
        <v>211</v>
      </c>
      <c r="B55" s="1291" t="s">
        <v>212</v>
      </c>
      <c r="C55" s="1290"/>
      <c r="D55" s="1290"/>
      <c r="E55" s="2590"/>
      <c r="F55" s="2589"/>
      <c r="G55" s="1290"/>
      <c r="H55" s="1290"/>
      <c r="I55" s="1290"/>
      <c r="J55" s="1290"/>
      <c r="K55" s="1290"/>
      <c r="L55" s="1293"/>
      <c r="M55" s="1295"/>
      <c r="N55" s="1295"/>
      <c r="O55" s="287"/>
      <c r="P55" s="1232"/>
      <c r="Q55" s="1233"/>
      <c r="R55" s="1232"/>
      <c r="S55" s="1238"/>
      <c r="T55" s="1241" t="s">
        <v>414</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4</v>
      </c>
    </row>
    <row r="56" spans="1:45" s="2344" customFormat="1" ht="4.1500000000000004" customHeight="1">
      <c r="A56" s="1291" t="s">
        <v>211</v>
      </c>
      <c r="B56" s="1291"/>
      <c r="C56" s="1291"/>
      <c r="D56" s="1291"/>
      <c r="E56" s="2589"/>
      <c r="F56" s="1291"/>
      <c r="G56" s="1291"/>
      <c r="H56" s="1291"/>
      <c r="I56" s="1291"/>
      <c r="J56" s="1291"/>
      <c r="K56" s="1291"/>
      <c r="L56" s="1297"/>
      <c r="M56" s="1295"/>
      <c r="N56" s="1295"/>
      <c r="O56" s="287"/>
      <c r="P56" s="316"/>
      <c r="Q56" s="1260"/>
      <c r="R56" s="316"/>
      <c r="S56" s="1238"/>
      <c r="T56" s="1241" t="s">
        <v>415</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4</v>
      </c>
    </row>
    <row r="57" spans="1:45" s="2344" customFormat="1" ht="4.1500000000000004" customHeight="1">
      <c r="A57" s="1290"/>
      <c r="B57" s="1290"/>
      <c r="C57" s="1290"/>
      <c r="D57" s="1290"/>
      <c r="E57" s="1291"/>
      <c r="F57" s="1290"/>
      <c r="G57" s="1290"/>
      <c r="H57" s="1290"/>
      <c r="I57" s="1290"/>
      <c r="J57" s="1290"/>
      <c r="K57" s="1290"/>
      <c r="L57" s="1293"/>
      <c r="M57" s="1295"/>
      <c r="N57" s="1295"/>
      <c r="O57" s="287"/>
      <c r="P57" s="1232"/>
      <c r="Q57" s="1233"/>
      <c r="R57" s="1232"/>
      <c r="S57" s="1238"/>
      <c r="T57" s="1241" t="s">
        <v>447</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4</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562"/>
      <c r="U59" s="2562"/>
      <c r="V59" s="2562"/>
      <c r="W59" s="2562"/>
      <c r="X59" s="2562"/>
      <c r="Y59" s="2562"/>
      <c r="Z59" s="2562"/>
      <c r="AA59" s="2562"/>
      <c r="AB59" s="2562"/>
      <c r="AC59" s="2562"/>
      <c r="AD59" s="2562"/>
      <c r="AE59" s="2562"/>
      <c r="AF59" s="2562"/>
      <c r="AG59" s="2562"/>
      <c r="AH59" s="2562"/>
      <c r="AI59" s="2562"/>
      <c r="AJ59" s="2562"/>
      <c r="AK59" s="2562"/>
      <c r="AL59" s="2562"/>
      <c r="AM59" s="2562"/>
      <c r="AS59" s="1547">
        <v>27</v>
      </c>
    </row>
    <row r="60" spans="1:45" ht="65.25" customHeight="1">
      <c r="O60" s="1551"/>
      <c r="T60" s="2562"/>
      <c r="U60" s="2562"/>
      <c r="V60" s="2562"/>
      <c r="W60" s="2562"/>
      <c r="X60" s="2562"/>
      <c r="Y60" s="2562"/>
      <c r="Z60" s="2562"/>
      <c r="AA60" s="2562"/>
      <c r="AB60" s="2562"/>
      <c r="AC60" s="2562"/>
      <c r="AD60" s="2562"/>
      <c r="AE60" s="2562"/>
      <c r="AF60" s="2562"/>
      <c r="AG60" s="2562"/>
      <c r="AH60" s="2562"/>
      <c r="AI60" s="2562"/>
      <c r="AJ60" s="2562"/>
      <c r="AK60" s="2562"/>
      <c r="AL60" s="2562"/>
      <c r="AM60" s="2562"/>
      <c r="AS60" s="1547">
        <v>62</v>
      </c>
    </row>
    <row r="61" spans="1:45" ht="14.65" customHeight="1">
      <c r="O61" s="1551"/>
      <c r="AS61" s="1547">
        <v>14</v>
      </c>
    </row>
    <row r="62" spans="1:45" ht="18.75" customHeight="1">
      <c r="O62" s="1551"/>
      <c r="S62" s="1169"/>
      <c r="T62" s="2562"/>
      <c r="U62" s="2562"/>
      <c r="V62" s="2562"/>
      <c r="W62" s="2562"/>
      <c r="X62" s="2562"/>
      <c r="Y62" s="2562"/>
      <c r="Z62" s="2562"/>
      <c r="AA62" s="2562"/>
      <c r="AB62" s="2562"/>
      <c r="AC62" s="2562"/>
      <c r="AD62" s="2562"/>
      <c r="AE62" s="2562"/>
      <c r="AF62" s="2562"/>
      <c r="AG62" s="2562"/>
      <c r="AH62" s="2562"/>
      <c r="AI62" s="2562"/>
      <c r="AJ62" s="2562"/>
      <c r="AK62" s="2562"/>
      <c r="AL62" s="2562"/>
      <c r="AM62" s="2562"/>
      <c r="AS62" s="1547">
        <v>18</v>
      </c>
    </row>
    <row r="63" spans="1:45" ht="18.75" customHeight="1">
      <c r="O63" s="1551"/>
      <c r="T63" s="2562"/>
      <c r="U63" s="2562"/>
      <c r="V63" s="2562"/>
      <c r="W63" s="2562"/>
      <c r="X63" s="2562"/>
      <c r="Y63" s="2562"/>
      <c r="Z63" s="2562"/>
      <c r="AA63" s="2562"/>
      <c r="AB63" s="2562"/>
      <c r="AC63" s="2562"/>
      <c r="AD63" s="2562"/>
      <c r="AE63" s="2562"/>
      <c r="AF63" s="2562"/>
      <c r="AG63" s="2562"/>
      <c r="AH63" s="2562"/>
      <c r="AI63" s="2562"/>
      <c r="AJ63" s="2562"/>
      <c r="AK63" s="2562"/>
      <c r="AL63" s="2562"/>
      <c r="AM63" s="2562"/>
      <c r="AS63" s="1547">
        <v>18</v>
      </c>
    </row>
    <row r="64" spans="1:45" ht="29.25" customHeight="1">
      <c r="O64" s="1551"/>
      <c r="S64" s="1169"/>
      <c r="T64" s="2562"/>
      <c r="U64" s="2562"/>
      <c r="V64" s="2562"/>
      <c r="W64" s="2562"/>
      <c r="X64" s="2562"/>
      <c r="Y64" s="2562"/>
      <c r="Z64" s="2562"/>
      <c r="AA64" s="2562"/>
      <c r="AB64" s="2562"/>
      <c r="AC64" s="2562"/>
      <c r="AD64" s="2562"/>
      <c r="AE64" s="2562"/>
      <c r="AF64" s="2562"/>
      <c r="AG64" s="2562"/>
      <c r="AH64" s="2562"/>
      <c r="AI64" s="2562"/>
      <c r="AJ64" s="2562"/>
      <c r="AK64" s="2562"/>
      <c r="AL64" s="2562"/>
      <c r="AM64" s="2562"/>
      <c r="AS64" s="1547">
        <v>28</v>
      </c>
    </row>
    <row r="65" spans="1:45" ht="22.5" hidden="1" customHeight="1">
      <c r="A65" s="1547" t="s">
        <v>82</v>
      </c>
      <c r="B65" s="1547">
        <v>0</v>
      </c>
      <c r="C65" s="1547">
        <v>0</v>
      </c>
      <c r="D65" s="1547">
        <v>0</v>
      </c>
      <c r="E65" s="1547">
        <v>0</v>
      </c>
      <c r="F65" s="1547">
        <v>0</v>
      </c>
      <c r="G65" s="1547">
        <v>0</v>
      </c>
      <c r="H65" s="1547">
        <v>0</v>
      </c>
      <c r="I65" s="1547">
        <v>0</v>
      </c>
      <c r="J65" s="1547">
        <v>0</v>
      </c>
      <c r="K65" s="1547">
        <v>0</v>
      </c>
      <c r="L65" s="1848">
        <v>0</v>
      </c>
      <c r="M65" s="1874">
        <v>0</v>
      </c>
      <c r="N65" s="1874">
        <v>0</v>
      </c>
      <c r="O65" s="1874">
        <v>0</v>
      </c>
      <c r="P65" s="1874">
        <v>3</v>
      </c>
      <c r="Q65" s="281">
        <v>3</v>
      </c>
      <c r="R65" s="281">
        <v>3</v>
      </c>
      <c r="S65" s="517">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60" hidden="1"/>
    <col min="2" max="2" width="11" style="2360" hidden="1" customWidth="1"/>
    <col min="3" max="3" width="10.5703125" style="2360" hidden="1"/>
    <col min="4" max="4" width="11.85546875" style="2360" hidden="1" customWidth="1"/>
    <col min="5" max="5" width="10" style="2360" hidden="1" customWidth="1"/>
    <col min="6" max="6" width="8.7109375" style="2360" hidden="1" customWidth="1"/>
    <col min="7" max="7" width="7.5703125" style="2360" hidden="1" customWidth="1"/>
    <col min="8" max="8" width="11.42578125" style="2360" hidden="1" customWidth="1"/>
    <col min="9" max="9" width="12" style="2360" hidden="1" customWidth="1"/>
    <col min="10" max="10" width="9.85546875" style="2360" hidden="1" customWidth="1"/>
    <col min="11" max="11" width="11.42578125" style="2360" hidden="1" customWidth="1"/>
    <col min="12" max="12" width="19.140625" style="2388" hidden="1" customWidth="1"/>
    <col min="13" max="14" width="12.28515625" style="2392" hidden="1" customWidth="1"/>
    <col min="15" max="15" width="23.42578125" style="2392" hidden="1" customWidth="1"/>
    <col min="16" max="16" width="3" style="2392" customWidth="1"/>
    <col min="17" max="18" width="3" style="2359" customWidth="1"/>
    <col min="19" max="19" width="12" style="2387" customWidth="1"/>
    <col min="20" max="20" width="31" style="2360" customWidth="1"/>
    <col min="21" max="21" width="0.140625" style="2360" customWidth="1"/>
    <col min="22" max="22" width="24.7109375" style="2360" hidden="1" customWidth="1"/>
    <col min="23" max="23" width="0.140625" style="2360" hidden="1" customWidth="1"/>
    <col min="24" max="25" width="24.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24.7109375" style="2360" customWidth="1"/>
    <col min="31" max="31" width="0.140625" style="2360" customWidth="1"/>
    <col min="32" max="33" width="24" style="2360" customWidth="1"/>
    <col min="34" max="34" width="11" style="2360" customWidth="1"/>
    <col min="35" max="35" width="3.7109375" style="2360" customWidth="1"/>
    <col min="36" max="36" width="11" style="2360" customWidth="1"/>
    <col min="37" max="37" width="8.5703125" style="2360" hidden="1" customWidth="1"/>
    <col min="38" max="38" width="4" style="2360" customWidth="1"/>
    <col min="39" max="39" width="115" style="2360" customWidth="1"/>
    <col min="40" max="44" width="10" style="2344" customWidth="1"/>
    <col min="45" max="45" width="10.5703125" style="2360" hidden="1"/>
  </cols>
  <sheetData>
    <row r="1" spans="1:45" ht="22.5" hidden="1" customHeight="1">
      <c r="AS1" s="1547" t="s">
        <v>14</v>
      </c>
    </row>
    <row r="2" spans="1:45" ht="21" hidden="1" customHeight="1">
      <c r="A2" s="1183"/>
      <c r="B2" s="1183"/>
      <c r="C2" s="1183"/>
      <c r="D2" s="1183"/>
      <c r="E2" s="2589">
        <v>1</v>
      </c>
      <c r="F2" s="1183"/>
      <c r="G2" s="1183"/>
      <c r="H2" s="1183"/>
      <c r="I2" s="1183"/>
      <c r="J2" s="1183"/>
      <c r="K2" s="1183"/>
      <c r="L2" s="1226"/>
      <c r="M2" s="1526"/>
      <c r="N2" s="1526"/>
      <c r="O2" s="1526"/>
      <c r="P2" s="1506"/>
      <c r="Q2" s="296"/>
      <c r="R2" s="291"/>
      <c r="S2" s="1867" t="e">
        <f>INDEX(PT_DIFFERENTIATION_NUM_NTAR,MATCH(A2,PT_DIFFERENTIATION_NTAR_ID,0))</f>
        <v>#N/A</v>
      </c>
      <c r="T2" s="1441" t="s">
        <v>124</v>
      </c>
      <c r="U2" s="237"/>
      <c r="V2" s="2557"/>
      <c r="W2" s="2558"/>
      <c r="X2" s="2558"/>
      <c r="Y2" s="2558"/>
      <c r="Z2" s="2558"/>
      <c r="AA2" s="2558"/>
      <c r="AB2" s="2558"/>
      <c r="AC2" s="2559"/>
      <c r="AD2" s="2557" t="e">
        <f>INDEX(PT_DIFFERENTIATION_NTAR,MATCH(A2,PT_DIFFERENTIATION_NTAR_ID,0))</f>
        <v>#N/A</v>
      </c>
      <c r="AE2" s="2558"/>
      <c r="AF2" s="2558"/>
      <c r="AG2" s="2558"/>
      <c r="AH2" s="2558"/>
      <c r="AI2" s="2558"/>
      <c r="AJ2" s="2558"/>
      <c r="AK2" s="2558"/>
      <c r="AL2" s="2559"/>
      <c r="AM2" s="1174" t="s">
        <v>395</v>
      </c>
      <c r="AO2" s="1540"/>
      <c r="AP2" s="1540" t="str">
        <f t="shared" ref="AP2:AP15" si="0">IF(T2="","",T2)</f>
        <v>Наименование тарифа</v>
      </c>
      <c r="AQ2" s="1540"/>
      <c r="AR2" s="1540"/>
      <c r="AS2" s="1547">
        <v>0</v>
      </c>
    </row>
    <row r="3" spans="1:45" ht="21" hidden="1" customHeight="1">
      <c r="A3" s="1183"/>
      <c r="B3" s="1183"/>
      <c r="C3" s="1183"/>
      <c r="D3" s="1183"/>
      <c r="E3" s="2590"/>
      <c r="F3" s="2589">
        <v>1</v>
      </c>
      <c r="G3" s="1183"/>
      <c r="H3" s="1183"/>
      <c r="I3" s="1183"/>
      <c r="J3" s="1183"/>
      <c r="K3" s="1183"/>
      <c r="L3" s="1226"/>
      <c r="M3" s="1526"/>
      <c r="N3" s="1526"/>
      <c r="O3" s="1526"/>
      <c r="P3" s="1849"/>
      <c r="Q3" s="288"/>
      <c r="R3" s="289"/>
      <c r="S3" s="1867" t="e">
        <f>INDEX(PT_DIFFERENTIATION_NUM_TER,MATCH(B3,PT_DIFFERENTIATION_TER_ID,0))</f>
        <v>#N/A</v>
      </c>
      <c r="T3" s="1438" t="s">
        <v>396</v>
      </c>
      <c r="U3" s="237"/>
      <c r="V3" s="2557"/>
      <c r="W3" s="2558"/>
      <c r="X3" s="2558"/>
      <c r="Y3" s="2558"/>
      <c r="Z3" s="2558"/>
      <c r="AA3" s="2558"/>
      <c r="AB3" s="2558"/>
      <c r="AC3" s="2559"/>
      <c r="AD3" s="2557" t="e">
        <f>INDEX(PT_DIFFERENTIATION_TER,MATCH(B3,PT_DIFFERENTIATION_TER_ID,0))</f>
        <v>#N/A</v>
      </c>
      <c r="AE3" s="2558"/>
      <c r="AF3" s="2558"/>
      <c r="AG3" s="2558"/>
      <c r="AH3" s="2558"/>
      <c r="AI3" s="2558"/>
      <c r="AJ3" s="2558"/>
      <c r="AK3" s="2558"/>
      <c r="AL3" s="2559"/>
      <c r="AM3" s="1174" t="s">
        <v>397</v>
      </c>
      <c r="AO3" s="1540"/>
      <c r="AP3" s="1540" t="str">
        <f t="shared" si="0"/>
        <v>Территория действия тарифа</v>
      </c>
      <c r="AQ3" s="1540"/>
      <c r="AR3" s="1540"/>
      <c r="AS3" s="1547">
        <v>0</v>
      </c>
    </row>
    <row r="4" spans="1:45" ht="23.25" hidden="1" customHeight="1">
      <c r="A4" s="1183"/>
      <c r="B4" s="1183"/>
      <c r="C4" s="1183"/>
      <c r="D4" s="1183"/>
      <c r="E4" s="2590"/>
      <c r="F4" s="2590"/>
      <c r="G4" s="2589">
        <v>1</v>
      </c>
      <c r="H4" s="1183"/>
      <c r="I4" s="1183"/>
      <c r="J4" s="1183"/>
      <c r="K4" s="1183"/>
      <c r="L4" s="1226"/>
      <c r="M4" s="1526"/>
      <c r="N4" s="1526"/>
      <c r="O4" s="1526"/>
      <c r="P4" s="290"/>
      <c r="Q4" s="288"/>
      <c r="R4" s="289"/>
      <c r="S4" s="1867" t="e">
        <f>INDEX(PT_DIFFERENTIATION_NUM_CS,MATCH(C4,PT_DIFFERENTIATION_CS_ID,0))</f>
        <v>#N/A</v>
      </c>
      <c r="T4" s="246" t="s">
        <v>398</v>
      </c>
      <c r="U4" s="237"/>
      <c r="V4" s="2557"/>
      <c r="W4" s="2558"/>
      <c r="X4" s="2558"/>
      <c r="Y4" s="2558"/>
      <c r="Z4" s="2558"/>
      <c r="AA4" s="2558"/>
      <c r="AB4" s="2558"/>
      <c r="AC4" s="2559"/>
      <c r="AD4" s="2557" t="e">
        <f>INDEX(PT_DIFFERENTIATION_CS,MATCH(C4,PT_DIFFERENTIATION_CS_ID,0))</f>
        <v>#N/A</v>
      </c>
      <c r="AE4" s="2558"/>
      <c r="AF4" s="2558"/>
      <c r="AG4" s="2558"/>
      <c r="AH4" s="2558"/>
      <c r="AI4" s="2558"/>
      <c r="AJ4" s="2558"/>
      <c r="AK4" s="2558"/>
      <c r="AL4" s="2559"/>
      <c r="AM4" s="1174" t="s">
        <v>399</v>
      </c>
      <c r="AO4" s="1540"/>
      <c r="AP4" s="1540" t="str">
        <f t="shared" si="0"/>
        <v xml:space="preserve">Наименование системы теплоснабжения </v>
      </c>
      <c r="AQ4" s="1540"/>
      <c r="AR4" s="1540"/>
      <c r="AS4" s="1547">
        <v>0</v>
      </c>
    </row>
    <row r="5" spans="1:45" ht="21" hidden="1" customHeight="1">
      <c r="A5" s="1183"/>
      <c r="B5" s="1183"/>
      <c r="C5" s="1183"/>
      <c r="D5" s="1183"/>
      <c r="E5" s="2590"/>
      <c r="F5" s="2590"/>
      <c r="G5" s="2590"/>
      <c r="H5" s="2589">
        <v>1</v>
      </c>
      <c r="I5" s="1183"/>
      <c r="J5" s="1183"/>
      <c r="K5" s="1183"/>
      <c r="L5" s="1226"/>
      <c r="M5" s="1526"/>
      <c r="N5" s="1526"/>
      <c r="O5" s="1526"/>
      <c r="P5" s="290"/>
      <c r="Q5" s="288"/>
      <c r="R5" s="289"/>
      <c r="S5" s="1867" t="e">
        <f>INDEX(PT_DIFFERENTIATION_NUM_IST_TE,MATCH(D5,PT_DIFFERENTIATION_IST_TE_ID,0))</f>
        <v>#N/A</v>
      </c>
      <c r="T5" s="247" t="s">
        <v>400</v>
      </c>
      <c r="U5" s="237"/>
      <c r="V5" s="2557"/>
      <c r="W5" s="2558"/>
      <c r="X5" s="2558"/>
      <c r="Y5" s="2558"/>
      <c r="Z5" s="2558"/>
      <c r="AA5" s="2558"/>
      <c r="AB5" s="2558"/>
      <c r="AC5" s="2559"/>
      <c r="AD5" s="2557" t="e">
        <f>INDEX(PT_DIFFERENTIATION_IST_TE,MATCH(D5,PT_DIFFERENTIATION_IST_TE_ID,0))</f>
        <v>#N/A</v>
      </c>
      <c r="AE5" s="2558"/>
      <c r="AF5" s="2558"/>
      <c r="AG5" s="2558"/>
      <c r="AH5" s="2558"/>
      <c r="AI5" s="2558"/>
      <c r="AJ5" s="2558"/>
      <c r="AK5" s="2558"/>
      <c r="AL5" s="2559"/>
      <c r="AM5" s="1174" t="s">
        <v>401</v>
      </c>
      <c r="AO5" s="1540"/>
      <c r="AP5" s="1540" t="str">
        <f t="shared" si="0"/>
        <v xml:space="preserve">Источник тепловой энергии  </v>
      </c>
      <c r="AQ5" s="1540"/>
      <c r="AR5" s="1540"/>
      <c r="AS5" s="1547">
        <v>0</v>
      </c>
    </row>
    <row r="6" spans="1:45" ht="47.25" hidden="1" customHeight="1">
      <c r="A6" s="1183"/>
      <c r="B6" s="1183"/>
      <c r="C6" s="1183"/>
      <c r="D6" s="1183"/>
      <c r="E6" s="2590"/>
      <c r="F6" s="2590"/>
      <c r="G6" s="2590"/>
      <c r="H6" s="2590"/>
      <c r="I6" s="2435" t="e">
        <f>S5&amp;".1"</f>
        <v>#N/A</v>
      </c>
      <c r="J6" s="1183"/>
      <c r="K6" s="1183"/>
      <c r="L6" s="1226" t="s">
        <v>402</v>
      </c>
      <c r="M6" s="1551"/>
      <c r="P6" s="2567">
        <v>1</v>
      </c>
      <c r="Q6" s="1863"/>
      <c r="R6" s="292"/>
      <c r="S6" s="1867" t="e">
        <f>$I6</f>
        <v>#N/A</v>
      </c>
      <c r="T6" s="222" t="s">
        <v>403</v>
      </c>
      <c r="U6" s="237"/>
      <c r="V6" s="2551"/>
      <c r="W6" s="2552"/>
      <c r="X6" s="2552"/>
      <c r="Y6" s="2552"/>
      <c r="Z6" s="2552"/>
      <c r="AA6" s="2552"/>
      <c r="AB6" s="2552"/>
      <c r="AC6" s="2553"/>
      <c r="AD6" s="2551"/>
      <c r="AE6" s="2552"/>
      <c r="AF6" s="2552"/>
      <c r="AG6" s="2552"/>
      <c r="AH6" s="2552"/>
      <c r="AI6" s="2552"/>
      <c r="AJ6" s="2552"/>
      <c r="AK6" s="2552"/>
      <c r="AL6" s="2553"/>
      <c r="AM6" s="1174" t="s">
        <v>404</v>
      </c>
      <c r="AO6" s="1540"/>
      <c r="AP6" s="1540" t="str">
        <f t="shared" si="0"/>
        <v>Схема подключения теплопотребляющей установки к коллектору источника тепловой энергии</v>
      </c>
      <c r="AQ6" s="1540"/>
      <c r="AR6" s="1540"/>
      <c r="AS6" s="1547">
        <v>0</v>
      </c>
    </row>
    <row r="7" spans="1:45" ht="21" hidden="1" customHeight="1">
      <c r="A7" s="1183"/>
      <c r="B7" s="1183"/>
      <c r="C7" s="1183"/>
      <c r="D7" s="1183"/>
      <c r="E7" s="2590"/>
      <c r="F7" s="2590"/>
      <c r="G7" s="2590"/>
      <c r="H7" s="2590"/>
      <c r="I7" s="2417"/>
      <c r="J7" s="2435" t="e">
        <f>I6&amp;".1"</f>
        <v>#N/A</v>
      </c>
      <c r="K7" s="1183"/>
      <c r="L7" s="1226" t="s">
        <v>405</v>
      </c>
      <c r="M7" s="1551"/>
      <c r="N7" s="1547"/>
      <c r="P7" s="2567"/>
      <c r="Q7" s="2567">
        <v>1</v>
      </c>
      <c r="R7" s="293"/>
      <c r="S7" s="1867" t="e">
        <f>$J7</f>
        <v>#N/A</v>
      </c>
      <c r="T7" s="223" t="s">
        <v>406</v>
      </c>
      <c r="U7" s="237"/>
      <c r="V7" s="2551"/>
      <c r="W7" s="2552"/>
      <c r="X7" s="2552"/>
      <c r="Y7" s="2552"/>
      <c r="Z7" s="2552"/>
      <c r="AA7" s="2552"/>
      <c r="AB7" s="2552"/>
      <c r="AC7" s="2553"/>
      <c r="AD7" s="2551"/>
      <c r="AE7" s="2552"/>
      <c r="AF7" s="2552"/>
      <c r="AG7" s="2552"/>
      <c r="AH7" s="2552"/>
      <c r="AI7" s="2552"/>
      <c r="AJ7" s="2552"/>
      <c r="AK7" s="2552"/>
      <c r="AL7" s="2553"/>
      <c r="AM7" s="1174" t="s">
        <v>407</v>
      </c>
      <c r="AO7" s="1540"/>
      <c r="AP7" s="1540" t="str">
        <f t="shared" si="0"/>
        <v>Группа потребителей</v>
      </c>
      <c r="AQ7" s="1540"/>
      <c r="AR7" s="1540"/>
      <c r="AS7" s="1547">
        <v>0</v>
      </c>
    </row>
    <row r="8" spans="1:45" ht="21" hidden="1" customHeight="1">
      <c r="A8" s="1183"/>
      <c r="B8" s="1183"/>
      <c r="C8" s="1183"/>
      <c r="D8" s="1183"/>
      <c r="E8" s="2590"/>
      <c r="F8" s="2590"/>
      <c r="G8" s="2590"/>
      <c r="H8" s="2590"/>
      <c r="I8" s="2417"/>
      <c r="J8" s="2417"/>
      <c r="K8" s="2435" t="e">
        <f>J7&amp;".1"</f>
        <v>#N/A</v>
      </c>
      <c r="L8" s="1226" t="s">
        <v>408</v>
      </c>
      <c r="M8" s="1551"/>
      <c r="N8" s="1547"/>
      <c r="O8" s="1547"/>
      <c r="P8" s="2567"/>
      <c r="Q8" s="2567"/>
      <c r="R8" s="293">
        <v>1</v>
      </c>
      <c r="S8" s="1867" t="e">
        <f>$K8</f>
        <v>#N/A</v>
      </c>
      <c r="T8" s="1263"/>
      <c r="U8" s="237"/>
      <c r="V8" s="687"/>
      <c r="W8" s="262"/>
      <c r="X8" s="687"/>
      <c r="Y8" s="1173"/>
      <c r="Z8" s="2568"/>
      <c r="AA8" s="2445" t="s">
        <v>62</v>
      </c>
      <c r="AB8" s="2568"/>
      <c r="AC8" s="2445" t="s">
        <v>62</v>
      </c>
      <c r="AD8" s="687"/>
      <c r="AE8" s="262"/>
      <c r="AF8" s="687"/>
      <c r="AG8" s="1173"/>
      <c r="AH8" s="2568"/>
      <c r="AI8" s="2445" t="s">
        <v>62</v>
      </c>
      <c r="AJ8" s="2568"/>
      <c r="AK8" s="2445" t="s">
        <v>62</v>
      </c>
      <c r="AL8" s="262"/>
      <c r="AM8" s="2586" t="s">
        <v>409</v>
      </c>
      <c r="AN8" s="1552" t="e">
        <f ca="1">STRCHECKDATE(V9:AL9)</f>
        <v>#NAME?</v>
      </c>
      <c r="AO8" s="1540"/>
      <c r="AP8" s="1540" t="str">
        <f t="shared" si="0"/>
        <v/>
      </c>
      <c r="AQ8" s="1540"/>
      <c r="AR8" s="1540"/>
      <c r="AS8" s="1547">
        <v>0</v>
      </c>
    </row>
    <row r="9" spans="1:45" ht="0.75" hidden="1" customHeight="1">
      <c r="A9" s="1183"/>
      <c r="B9" s="1183"/>
      <c r="C9" s="1183"/>
      <c r="D9" s="1183"/>
      <c r="E9" s="2590"/>
      <c r="F9" s="2590"/>
      <c r="G9" s="2590"/>
      <c r="H9" s="2590"/>
      <c r="I9" s="2417"/>
      <c r="J9" s="2417"/>
      <c r="K9" s="2435"/>
      <c r="L9" s="1226"/>
      <c r="M9" s="1551"/>
      <c r="N9" s="1547"/>
      <c r="O9" s="1547"/>
      <c r="P9" s="2567"/>
      <c r="Q9" s="2567"/>
      <c r="R9" s="293"/>
      <c r="S9" s="1876"/>
      <c r="T9" s="237"/>
      <c r="U9" s="237"/>
      <c r="V9" s="262"/>
      <c r="W9" s="262"/>
      <c r="X9" s="262"/>
      <c r="Y9" s="265" t="str">
        <f>Z8&amp;"-"&amp;AB8</f>
        <v>-</v>
      </c>
      <c r="Z9" s="2569"/>
      <c r="AA9" s="2445"/>
      <c r="AB9" s="2569"/>
      <c r="AC9" s="2445"/>
      <c r="AD9" s="262"/>
      <c r="AE9" s="262"/>
      <c r="AF9" s="262"/>
      <c r="AG9" s="265" t="str">
        <f>AH8&amp;"-"&amp;AJ8</f>
        <v>-</v>
      </c>
      <c r="AH9" s="2569"/>
      <c r="AI9" s="2445"/>
      <c r="AJ9" s="2569"/>
      <c r="AK9" s="2445"/>
      <c r="AL9" s="262"/>
      <c r="AM9" s="2587"/>
      <c r="AO9" s="1540"/>
      <c r="AP9" s="1540" t="str">
        <f t="shared" si="0"/>
        <v/>
      </c>
      <c r="AQ9" s="1540"/>
      <c r="AR9" s="1540"/>
      <c r="AS9" s="1547">
        <v>0</v>
      </c>
    </row>
    <row r="10" spans="1:45" ht="15" hidden="1" customHeight="1">
      <c r="A10" s="1183"/>
      <c r="B10" s="1183"/>
      <c r="C10" s="1183"/>
      <c r="D10" s="1183"/>
      <c r="E10" s="2590"/>
      <c r="F10" s="2590"/>
      <c r="G10" s="2590"/>
      <c r="H10" s="2590"/>
      <c r="I10" s="2417"/>
      <c r="J10" s="2435"/>
      <c r="K10" s="1183"/>
      <c r="L10" s="1226"/>
      <c r="M10" s="1551"/>
      <c r="N10" s="1547"/>
      <c r="P10" s="2567"/>
      <c r="Q10" s="2567"/>
      <c r="R10" s="292"/>
      <c r="S10" s="1194"/>
      <c r="T10" s="225" t="s">
        <v>410</v>
      </c>
      <c r="U10" s="536"/>
      <c r="V10" s="536"/>
      <c r="W10" s="536"/>
      <c r="X10" s="536"/>
      <c r="Y10" s="536"/>
      <c r="Z10" s="536"/>
      <c r="AA10" s="536"/>
      <c r="AB10" s="536"/>
      <c r="AC10" s="536"/>
      <c r="AD10" s="536"/>
      <c r="AE10" s="536"/>
      <c r="AF10" s="536"/>
      <c r="AG10" s="536"/>
      <c r="AH10" s="536"/>
      <c r="AI10" s="536"/>
      <c r="AJ10" s="536"/>
      <c r="AK10" s="536"/>
      <c r="AL10" s="261"/>
      <c r="AM10" s="2588"/>
      <c r="AO10" s="1540"/>
      <c r="AP10" s="1540" t="str">
        <f t="shared" si="0"/>
        <v>Добавить вид теплоносителя (параметры теплоносителя)</v>
      </c>
      <c r="AQ10" s="1540"/>
      <c r="AR10" s="1540"/>
      <c r="AS10" s="1547">
        <v>0</v>
      </c>
    </row>
    <row r="11" spans="1:45" ht="15" hidden="1" customHeight="1">
      <c r="A11" s="1183"/>
      <c r="B11" s="1183"/>
      <c r="C11" s="1183"/>
      <c r="D11" s="1183"/>
      <c r="E11" s="2590"/>
      <c r="F11" s="2590"/>
      <c r="G11" s="2590"/>
      <c r="H11" s="2590"/>
      <c r="I11" s="2435"/>
      <c r="J11" s="1183"/>
      <c r="K11" s="1183"/>
      <c r="L11" s="1226"/>
      <c r="M11" s="1551"/>
      <c r="P11" s="2567"/>
      <c r="Q11" s="1863"/>
      <c r="R11" s="292"/>
      <c r="S11" s="1194"/>
      <c r="T11" s="224" t="s">
        <v>411</v>
      </c>
      <c r="U11" s="536"/>
      <c r="V11" s="536"/>
      <c r="W11" s="536"/>
      <c r="X11" s="536"/>
      <c r="Y11" s="536"/>
      <c r="Z11" s="536"/>
      <c r="AA11" s="536"/>
      <c r="AB11" s="536"/>
      <c r="AC11" s="302"/>
      <c r="AD11" s="536"/>
      <c r="AE11" s="536"/>
      <c r="AF11" s="536"/>
      <c r="AG11" s="536"/>
      <c r="AH11" s="536"/>
      <c r="AI11" s="536"/>
      <c r="AJ11" s="536"/>
      <c r="AK11" s="302"/>
      <c r="AL11" s="536"/>
      <c r="AM11" s="240"/>
      <c r="AO11" s="1540"/>
      <c r="AP11" s="1540" t="str">
        <f t="shared" si="0"/>
        <v>Добавить группу потребителей</v>
      </c>
      <c r="AQ11" s="1540"/>
      <c r="AR11" s="1540"/>
      <c r="AS11" s="1547">
        <v>0</v>
      </c>
    </row>
    <row r="12" spans="1:45" ht="14.25" hidden="1" customHeight="1">
      <c r="A12" s="1183"/>
      <c r="B12" s="1183"/>
      <c r="C12" s="1183"/>
      <c r="D12" s="1183"/>
      <c r="E12" s="2590"/>
      <c r="F12" s="2590"/>
      <c r="G12" s="2590"/>
      <c r="H12" s="2589"/>
      <c r="I12" s="1183"/>
      <c r="J12" s="1183"/>
      <c r="K12" s="1183"/>
      <c r="L12" s="1226"/>
      <c r="M12" s="1526"/>
      <c r="N12" s="1526"/>
      <c r="O12" s="1551"/>
      <c r="P12" s="296"/>
      <c r="Q12" s="311"/>
      <c r="R12" s="291"/>
      <c r="S12" s="1194"/>
      <c r="T12" s="301" t="s">
        <v>412</v>
      </c>
      <c r="U12" s="536"/>
      <c r="V12" s="536"/>
      <c r="W12" s="536"/>
      <c r="X12" s="536"/>
      <c r="Y12" s="536"/>
      <c r="Z12" s="536"/>
      <c r="AA12" s="536"/>
      <c r="AB12" s="536"/>
      <c r="AC12" s="302"/>
      <c r="AD12" s="536"/>
      <c r="AE12" s="536"/>
      <c r="AF12" s="536"/>
      <c r="AG12" s="536"/>
      <c r="AH12" s="536"/>
      <c r="AI12" s="536"/>
      <c r="AJ12" s="536"/>
      <c r="AK12" s="302"/>
      <c r="AL12" s="536"/>
      <c r="AM12" s="240"/>
      <c r="AO12" s="1540"/>
      <c r="AP12" s="1540" t="str">
        <f t="shared" si="0"/>
        <v>Добавить схему подключения</v>
      </c>
      <c r="AQ12" s="1540"/>
      <c r="AR12" s="1540"/>
      <c r="AS12" s="1547">
        <v>0</v>
      </c>
    </row>
    <row r="13" spans="1:45" s="2344" customFormat="1" ht="0.75" hidden="1" customHeight="1">
      <c r="A13" s="1883"/>
      <c r="B13" s="1883"/>
      <c r="C13" s="1883"/>
      <c r="D13" s="1883"/>
      <c r="E13" s="2590"/>
      <c r="F13" s="2590"/>
      <c r="G13" s="2589"/>
      <c r="H13" s="1883"/>
      <c r="I13" s="1883"/>
      <c r="J13" s="1883"/>
      <c r="K13" s="1883"/>
      <c r="L13" s="1296"/>
      <c r="M13" s="1526"/>
      <c r="N13" s="1526"/>
      <c r="O13" s="1551"/>
      <c r="P13" s="1232"/>
      <c r="Q13" s="1233"/>
      <c r="R13" s="1232"/>
      <c r="S13" s="1234"/>
      <c r="T13" s="1235" t="s">
        <v>413</v>
      </c>
      <c r="U13" s="1236"/>
      <c r="V13" s="1236"/>
      <c r="W13" s="1236"/>
      <c r="X13" s="1236"/>
      <c r="Y13" s="1236"/>
      <c r="Z13" s="1236"/>
      <c r="AA13" s="1236"/>
      <c r="AB13" s="1236"/>
      <c r="AC13" s="1236"/>
      <c r="AD13" s="1236"/>
      <c r="AE13" s="1236"/>
      <c r="AF13" s="1236"/>
      <c r="AG13" s="1236"/>
      <c r="AH13" s="1236"/>
      <c r="AI13" s="1236"/>
      <c r="AJ13" s="1236"/>
      <c r="AK13" s="1236"/>
      <c r="AL13" s="1236"/>
      <c r="AM13" s="1236"/>
      <c r="AO13" s="1167"/>
      <c r="AP13" s="1167" t="str">
        <f t="shared" si="0"/>
        <v>Добавить источник для дифференциации</v>
      </c>
      <c r="AQ13" s="1167"/>
      <c r="AR13" s="1167"/>
      <c r="AS13" s="1558">
        <v>0</v>
      </c>
    </row>
    <row r="14" spans="1:45" s="2344" customFormat="1" ht="0.75" hidden="1" customHeight="1">
      <c r="A14" s="1883"/>
      <c r="B14" s="1883"/>
      <c r="C14" s="1883"/>
      <c r="D14" s="1883"/>
      <c r="E14" s="2590"/>
      <c r="F14" s="2589"/>
      <c r="G14" s="1883"/>
      <c r="H14" s="1883"/>
      <c r="I14" s="1883"/>
      <c r="J14" s="1883"/>
      <c r="K14" s="1883"/>
      <c r="L14" s="1296"/>
      <c r="M14" s="1884"/>
      <c r="N14" s="1884"/>
      <c r="O14" s="1551"/>
      <c r="P14" s="1232"/>
      <c r="Q14" s="1233"/>
      <c r="R14" s="1232"/>
      <c r="S14" s="1238"/>
      <c r="T14" s="1239" t="s">
        <v>414</v>
      </c>
      <c r="U14" s="1240"/>
      <c r="V14" s="1240"/>
      <c r="W14" s="1240"/>
      <c r="X14" s="1240"/>
      <c r="Y14" s="1240"/>
      <c r="Z14" s="1240"/>
      <c r="AA14" s="1240"/>
      <c r="AB14" s="1240"/>
      <c r="AC14" s="1240"/>
      <c r="AD14" s="1240"/>
      <c r="AE14" s="1240"/>
      <c r="AF14" s="1240"/>
      <c r="AG14" s="1240"/>
      <c r="AH14" s="1240"/>
      <c r="AI14" s="1240"/>
      <c r="AJ14" s="1240"/>
      <c r="AK14" s="1240"/>
      <c r="AL14" s="1240"/>
      <c r="AM14" s="1240"/>
      <c r="AO14" s="1167"/>
      <c r="AP14" s="1167" t="str">
        <f t="shared" si="0"/>
        <v>Добавить централизованную систему для дифференциации</v>
      </c>
      <c r="AQ14" s="1167"/>
      <c r="AR14" s="1167"/>
      <c r="AS14" s="1558">
        <v>0</v>
      </c>
    </row>
    <row r="15" spans="1:45" s="2344" customFormat="1" ht="0.75" hidden="1" customHeight="1">
      <c r="A15" s="1883"/>
      <c r="B15" s="1883"/>
      <c r="C15" s="1883"/>
      <c r="D15" s="1883"/>
      <c r="E15" s="2589"/>
      <c r="F15" s="1883"/>
      <c r="G15" s="1883"/>
      <c r="H15" s="1883"/>
      <c r="I15" s="1883"/>
      <c r="J15" s="1883"/>
      <c r="K15" s="1883"/>
      <c r="L15" s="1296"/>
      <c r="M15" s="1884"/>
      <c r="N15" s="1884"/>
      <c r="O15" s="1551"/>
      <c r="P15" s="1232"/>
      <c r="Q15" s="1233"/>
      <c r="R15" s="1232"/>
      <c r="S15" s="1238"/>
      <c r="T15" s="1241" t="s">
        <v>415</v>
      </c>
      <c r="U15" s="1240"/>
      <c r="V15" s="1240"/>
      <c r="W15" s="1240"/>
      <c r="X15" s="1240"/>
      <c r="Y15" s="1240"/>
      <c r="Z15" s="1240"/>
      <c r="AA15" s="1240"/>
      <c r="AB15" s="1240"/>
      <c r="AC15" s="1240"/>
      <c r="AD15" s="1240"/>
      <c r="AE15" s="1240"/>
      <c r="AF15" s="1240"/>
      <c r="AG15" s="1240"/>
      <c r="AH15" s="1240"/>
      <c r="AI15" s="1240"/>
      <c r="AJ15" s="1240"/>
      <c r="AK15" s="1240"/>
      <c r="AL15" s="1240"/>
      <c r="AM15" s="1240"/>
      <c r="AO15" s="1167"/>
      <c r="AP15" s="1167" t="str">
        <f t="shared" si="0"/>
        <v>Добавить территорию для дифференциации</v>
      </c>
      <c r="AQ15" s="1167"/>
      <c r="AR15" s="1167"/>
      <c r="AS15" s="1558">
        <v>0</v>
      </c>
    </row>
    <row r="16" spans="1:45" ht="14.25" hidden="1" customHeight="1">
      <c r="AS16" s="1547">
        <v>0</v>
      </c>
    </row>
    <row r="17" spans="1:45" ht="14.25" hidden="1" customHeight="1">
      <c r="AD17" s="1276"/>
      <c r="AE17" s="1276"/>
      <c r="AF17" s="1276"/>
      <c r="AG17" s="1277"/>
      <c r="AH17" s="2561"/>
      <c r="AI17" s="2560" t="s">
        <v>62</v>
      </c>
      <c r="AJ17" s="2561"/>
      <c r="AK17" s="2560" t="s">
        <v>62</v>
      </c>
      <c r="AS17" s="1547">
        <v>0</v>
      </c>
    </row>
    <row r="18" spans="1:45" ht="14.25" hidden="1" customHeight="1">
      <c r="AD18" s="1276"/>
      <c r="AE18" s="1276"/>
      <c r="AF18" s="1276"/>
      <c r="AG18" s="265" t="str">
        <f>AH17&amp;"-"&amp;AJ17</f>
        <v>-</v>
      </c>
      <c r="AH18" s="2560"/>
      <c r="AI18" s="2560"/>
      <c r="AJ18" s="2560"/>
      <c r="AK18" s="2560"/>
      <c r="AS18" s="1547">
        <v>0</v>
      </c>
    </row>
    <row r="19" spans="1:45" ht="14.25" hidden="1" customHeight="1">
      <c r="AS19" s="1547">
        <v>0</v>
      </c>
    </row>
    <row r="20" spans="1:45" s="2357" customFormat="1" ht="22.5" hidden="1" customHeight="1">
      <c r="A20" s="1547"/>
      <c r="B20" s="1547"/>
      <c r="C20" s="1547"/>
      <c r="D20" s="1547"/>
      <c r="E20" s="1547"/>
      <c r="F20" s="1547"/>
      <c r="G20" s="1547"/>
      <c r="H20" s="1547"/>
      <c r="I20" s="1547"/>
      <c r="J20" s="1547"/>
      <c r="K20" s="1547"/>
      <c r="L20" s="1848"/>
      <c r="M20" s="1874"/>
      <c r="N20" s="1874"/>
      <c r="O20" s="1261" t="s">
        <v>416</v>
      </c>
      <c r="P20" s="1278"/>
      <c r="Q20" s="1287"/>
      <c r="R20" s="1287"/>
      <c r="S20" s="665"/>
      <c r="Z20" s="1283"/>
      <c r="AB20" s="1283"/>
      <c r="AH20" s="1283"/>
      <c r="AJ20" s="1283"/>
      <c r="AN20" s="1552"/>
      <c r="AO20" s="1552"/>
      <c r="AP20" s="1552"/>
      <c r="AQ20" s="1552"/>
      <c r="AR20" s="1552"/>
      <c r="AS20" s="1282">
        <v>0</v>
      </c>
    </row>
    <row r="21" spans="1:45" s="2357" customFormat="1" ht="14.25" hidden="1" customHeight="1">
      <c r="A21" s="1547"/>
      <c r="B21" s="1547"/>
      <c r="C21" s="1547"/>
      <c r="D21" s="1547"/>
      <c r="E21" s="1547"/>
      <c r="F21" s="1547"/>
      <c r="G21" s="1547"/>
      <c r="H21" s="1547"/>
      <c r="I21" s="1547"/>
      <c r="J21" s="1547"/>
      <c r="K21" s="1547"/>
      <c r="L21" s="1848"/>
      <c r="M21" s="1874"/>
      <c r="N21" s="1874"/>
      <c r="O21" s="1874"/>
      <c r="P21" s="1278"/>
      <c r="Q21" s="1287"/>
      <c r="R21" s="1287"/>
      <c r="S21" s="665"/>
      <c r="AN21" s="1552"/>
      <c r="AO21" s="1552"/>
      <c r="AP21" s="1552"/>
      <c r="AQ21" s="1552"/>
      <c r="AR21" s="1552"/>
      <c r="AS21" s="1282">
        <v>0</v>
      </c>
    </row>
    <row r="22" spans="1:45" s="2357" customFormat="1" ht="14.25" hidden="1" customHeight="1">
      <c r="A22" s="1547"/>
      <c r="B22" s="1547"/>
      <c r="C22" s="1547"/>
      <c r="D22" s="1547"/>
      <c r="E22" s="1547"/>
      <c r="F22" s="1547"/>
      <c r="G22" s="1547"/>
      <c r="H22" s="1547"/>
      <c r="I22" s="1547"/>
      <c r="J22" s="1547"/>
      <c r="K22" s="1547"/>
      <c r="L22" s="1848"/>
      <c r="M22" s="1874"/>
      <c r="N22" s="1874"/>
      <c r="O22" s="1226" t="s">
        <v>417</v>
      </c>
      <c r="P22" s="1278"/>
      <c r="Q22" s="1287"/>
      <c r="R22" s="1287"/>
      <c r="S22" s="665"/>
      <c r="T22" s="1282" t="s">
        <v>418</v>
      </c>
      <c r="AA22" s="531" t="s">
        <v>419</v>
      </c>
      <c r="AC22" s="531" t="s">
        <v>420</v>
      </c>
      <c r="AD22" s="1282" t="s">
        <v>418</v>
      </c>
      <c r="AI22" s="531" t="s">
        <v>421</v>
      </c>
      <c r="AK22" s="531" t="s">
        <v>420</v>
      </c>
      <c r="AN22" s="1552"/>
      <c r="AO22" s="1552"/>
      <c r="AP22" s="1552"/>
      <c r="AQ22" s="1552"/>
      <c r="AR22" s="1552"/>
      <c r="AS22" s="1282">
        <v>0</v>
      </c>
    </row>
    <row r="23" spans="1:45" ht="14.25" hidden="1" customHeight="1">
      <c r="O23" s="1226"/>
      <c r="AS23" s="1547">
        <v>0</v>
      </c>
    </row>
    <row r="24" spans="1:45" ht="14.25" hidden="1" customHeight="1">
      <c r="O24" s="1226"/>
      <c r="AS24" s="1547">
        <v>0</v>
      </c>
    </row>
    <row r="25" spans="1:45" ht="14.65" customHeight="1">
      <c r="Q25" s="312"/>
      <c r="R25" s="312"/>
      <c r="S25" s="1191"/>
      <c r="T25" s="393"/>
      <c r="U25" s="393"/>
      <c r="V25" s="1551"/>
      <c r="W25" s="1551"/>
      <c r="X25" s="1551"/>
      <c r="Y25" s="1551"/>
      <c r="Z25" s="1551"/>
      <c r="AA25" s="1551"/>
      <c r="AB25" s="1551"/>
      <c r="AC25" s="1551"/>
      <c r="AD25" s="1551"/>
      <c r="AE25" s="1551"/>
      <c r="AF25" s="1551"/>
      <c r="AG25" s="1551"/>
      <c r="AH25" s="1551"/>
      <c r="AI25" s="1551"/>
      <c r="AJ25" s="1551"/>
      <c r="AK25" s="1551"/>
      <c r="AS25" s="1547">
        <v>14</v>
      </c>
    </row>
    <row r="26" spans="1:45" ht="14.65" customHeight="1">
      <c r="Q26" s="312"/>
      <c r="R26" s="312"/>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9"/>
      <c r="AS26" s="1547">
        <v>14</v>
      </c>
    </row>
    <row r="27" spans="1:45" ht="14.65" customHeight="1">
      <c r="Q27" s="312"/>
      <c r="R27" s="312"/>
      <c r="S27" s="2516" t="str">
        <f>IF(org=0,"Не определено",org)</f>
        <v>ООО "Пятигорсктеплосервис"</v>
      </c>
      <c r="T27" s="2516"/>
      <c r="U27" s="2516"/>
      <c r="V27" s="2516"/>
      <c r="W27" s="2516"/>
      <c r="X27" s="2516"/>
      <c r="Y27" s="2516"/>
      <c r="Z27" s="2516"/>
      <c r="AA27" s="2516"/>
      <c r="AB27" s="2516"/>
      <c r="AC27" s="2516"/>
      <c r="AD27" s="2516"/>
      <c r="AE27" s="2516"/>
      <c r="AF27" s="2516"/>
      <c r="AG27" s="2516"/>
      <c r="AH27" s="2516"/>
      <c r="AI27" s="2516"/>
      <c r="AJ27" s="2516"/>
      <c r="AK27" s="1159"/>
      <c r="AS27" s="1547">
        <v>14</v>
      </c>
    </row>
    <row r="28" spans="1:45" ht="14.25" hidden="1" customHeight="1">
      <c r="Q28" s="312"/>
      <c r="R28" s="312"/>
      <c r="S28" s="1191"/>
      <c r="T28" s="393"/>
      <c r="U28" s="393"/>
      <c r="V28" s="259"/>
      <c r="W28" s="259"/>
      <c r="X28" s="259"/>
      <c r="Y28" s="259"/>
      <c r="Z28" s="259"/>
      <c r="AA28" s="259"/>
      <c r="AB28" s="259"/>
      <c r="AC28" s="259"/>
      <c r="AD28" s="259"/>
      <c r="AE28" s="259"/>
      <c r="AF28" s="259"/>
      <c r="AG28" s="259"/>
      <c r="AH28" s="259"/>
      <c r="AI28" s="259"/>
      <c r="AJ28" s="259"/>
      <c r="AK28" s="259"/>
      <c r="AL28" s="1551"/>
      <c r="AS28" s="1547">
        <v>0</v>
      </c>
    </row>
    <row r="29" spans="1:45" s="2380" customFormat="1" ht="25.5" hidden="1" customHeight="1">
      <c r="A29" s="1164"/>
      <c r="B29" s="1164"/>
      <c r="C29" s="1164"/>
      <c r="D29" s="1164"/>
      <c r="E29" s="1164"/>
      <c r="F29" s="1164"/>
      <c r="G29" s="1164"/>
      <c r="H29" s="1164"/>
      <c r="I29" s="1164"/>
      <c r="J29" s="1164"/>
      <c r="K29" s="1164"/>
      <c r="L29" s="1296"/>
      <c r="M29" s="1164"/>
      <c r="N29" s="1164"/>
      <c r="O29" s="1164"/>
      <c r="S29" s="2554" t="s">
        <v>41</v>
      </c>
      <c r="T29" s="2554"/>
      <c r="U29" s="1288"/>
      <c r="V29" s="2556" t="str">
        <f>IF(TITLE_NAME_OR_PR_CHANGE="",IF(TITLE_NAME_OR_PR="","",TITLE_NAME_OR_PR),TITLE_NAME_OR_PR_CHANGE)</f>
        <v/>
      </c>
      <c r="W29" s="2556"/>
      <c r="X29" s="2556"/>
      <c r="Y29" s="2556"/>
      <c r="Z29" s="2556"/>
      <c r="AA29" s="2556"/>
      <c r="AB29" s="2556"/>
      <c r="AC29" s="1551"/>
      <c r="AD29" s="2556" t="str">
        <f>IF(TITLE_NAME_OR_PR_CHANGE="",IF(TITLE_NAME_OR_PR="","",TITLE_NAME_OR_PR),TITLE_NAME_OR_PR_CHANGE)</f>
        <v/>
      </c>
      <c r="AE29" s="2556"/>
      <c r="AF29" s="2556"/>
      <c r="AG29" s="2556"/>
      <c r="AH29" s="2556"/>
      <c r="AI29" s="2556"/>
      <c r="AJ29" s="2556"/>
      <c r="AK29" s="1551"/>
      <c r="AL29" s="1551"/>
      <c r="AM29" s="217"/>
      <c r="AN29" s="304"/>
      <c r="AO29" s="304"/>
      <c r="AP29" s="304"/>
      <c r="AQ29" s="304"/>
      <c r="AR29" s="304"/>
      <c r="AS29" s="354">
        <v>0</v>
      </c>
    </row>
    <row r="30" spans="1:45" s="2380" customFormat="1" ht="18.75" hidden="1" customHeight="1">
      <c r="A30" s="1164"/>
      <c r="B30" s="1164"/>
      <c r="C30" s="1164"/>
      <c r="D30" s="1164"/>
      <c r="E30" s="1164"/>
      <c r="F30" s="1164"/>
      <c r="G30" s="1164"/>
      <c r="H30" s="1164"/>
      <c r="I30" s="1164"/>
      <c r="J30" s="1164"/>
      <c r="K30" s="1164"/>
      <c r="L30" s="1296"/>
      <c r="M30" s="1164"/>
      <c r="N30" s="1164"/>
      <c r="O30" s="1164"/>
      <c r="S30" s="2554" t="s">
        <v>422</v>
      </c>
      <c r="T30" s="2554"/>
      <c r="U30" s="1288"/>
      <c r="V30" s="2555" t="str">
        <f>IF(TITLE_DATE_PR_CHANGE="",IF(TITLE_DATE_PR="","",TITLE_DATE_PR),TITLE_DATE_PR_CHANGE)</f>
        <v/>
      </c>
      <c r="W30" s="2555"/>
      <c r="X30" s="2555"/>
      <c r="Y30" s="2555"/>
      <c r="Z30" s="2555"/>
      <c r="AA30" s="2555"/>
      <c r="AB30" s="2555"/>
      <c r="AC30" s="1551"/>
      <c r="AD30" s="2555" t="str">
        <f>IF(TITLE_DATE_PR_CHANGE="",IF(TITLE_DATE_PR="","",TITLE_DATE_PR),TITLE_DATE_PR_CHANGE)</f>
        <v/>
      </c>
      <c r="AE30" s="2555"/>
      <c r="AF30" s="2555"/>
      <c r="AG30" s="2555"/>
      <c r="AH30" s="2555"/>
      <c r="AI30" s="2555"/>
      <c r="AJ30" s="2555"/>
      <c r="AK30" s="1551"/>
      <c r="AL30" s="1551"/>
      <c r="AM30" s="217"/>
      <c r="AN30" s="304"/>
      <c r="AO30" s="304"/>
      <c r="AP30" s="304"/>
      <c r="AQ30" s="304"/>
      <c r="AR30" s="304"/>
      <c r="AS30" s="354">
        <v>0</v>
      </c>
    </row>
    <row r="31" spans="1:45" s="2380" customFormat="1" ht="18.75" hidden="1" customHeight="1">
      <c r="A31" s="1164"/>
      <c r="B31" s="1164"/>
      <c r="C31" s="1164"/>
      <c r="D31" s="1164"/>
      <c r="E31" s="1164"/>
      <c r="F31" s="1164"/>
      <c r="G31" s="1164"/>
      <c r="H31" s="1164"/>
      <c r="I31" s="1164"/>
      <c r="J31" s="1164"/>
      <c r="K31" s="1164"/>
      <c r="L31" s="1296"/>
      <c r="M31" s="1164"/>
      <c r="N31" s="1164"/>
      <c r="O31" s="1164"/>
      <c r="S31" s="2554" t="s">
        <v>423</v>
      </c>
      <c r="T31" s="2554"/>
      <c r="U31" s="1288"/>
      <c r="V31" s="2556" t="str">
        <f>IF(TITLE_NUMBER_PR_CHANGE="",IF(TITLE_NUMBER_PR="","",TITLE_NUMBER_PR),TITLE_NUMBER_PR_CHANGE)</f>
        <v/>
      </c>
      <c r="W31" s="2556"/>
      <c r="X31" s="2556"/>
      <c r="Y31" s="2556"/>
      <c r="Z31" s="2556"/>
      <c r="AA31" s="2556"/>
      <c r="AB31" s="2556"/>
      <c r="AC31" s="1551"/>
      <c r="AD31" s="2556" t="str">
        <f>IF(TITLE_NUMBER_PR_CHANGE="",IF(TITLE_NUMBER_PR="","",TITLE_NUMBER_PR),TITLE_NUMBER_PR_CHANGE)</f>
        <v/>
      </c>
      <c r="AE31" s="2556"/>
      <c r="AF31" s="2556"/>
      <c r="AG31" s="2556"/>
      <c r="AH31" s="2556"/>
      <c r="AI31" s="2556"/>
      <c r="AJ31" s="2556"/>
      <c r="AK31" s="1551"/>
      <c r="AL31" s="1551"/>
      <c r="AM31" s="217"/>
      <c r="AN31" s="304"/>
      <c r="AO31" s="304"/>
      <c r="AP31" s="304"/>
      <c r="AQ31" s="304"/>
      <c r="AR31" s="304"/>
      <c r="AS31" s="354">
        <v>0</v>
      </c>
    </row>
    <row r="32" spans="1:45" s="2380" customFormat="1" ht="18.75" hidden="1" customHeight="1">
      <c r="A32" s="1164"/>
      <c r="B32" s="1164"/>
      <c r="C32" s="1164"/>
      <c r="D32" s="1164"/>
      <c r="E32" s="1164"/>
      <c r="F32" s="1164"/>
      <c r="G32" s="1164"/>
      <c r="H32" s="1164"/>
      <c r="I32" s="1164"/>
      <c r="J32" s="1164"/>
      <c r="K32" s="1164"/>
      <c r="L32" s="1296"/>
      <c r="M32" s="1164"/>
      <c r="N32" s="1164"/>
      <c r="O32" s="1164"/>
      <c r="S32" s="2554" t="s">
        <v>42</v>
      </c>
      <c r="T32" s="2554"/>
      <c r="U32" s="1288"/>
      <c r="V32" s="2556" t="str">
        <f>IF(TITLE_IST_PUB_CHANGE="",IF(TITLE_IST_PUB="","",TITLE_IST_PUB),TITLE_IST_PUB_CHANGE)</f>
        <v/>
      </c>
      <c r="W32" s="2556"/>
      <c r="X32" s="2556"/>
      <c r="Y32" s="2556"/>
      <c r="Z32" s="2556"/>
      <c r="AA32" s="2556"/>
      <c r="AB32" s="2556"/>
      <c r="AC32" s="1551"/>
      <c r="AD32" s="2556" t="str">
        <f>IF(TITLE_IST_PUB_CHANGE="",IF(TITLE_IST_PUB="","",TITLE_IST_PUB),TITLE_IST_PUB_CHANGE)</f>
        <v/>
      </c>
      <c r="AE32" s="2556"/>
      <c r="AF32" s="2556"/>
      <c r="AG32" s="2556"/>
      <c r="AH32" s="2556"/>
      <c r="AI32" s="2556"/>
      <c r="AJ32" s="2556"/>
      <c r="AK32" s="1551"/>
      <c r="AL32" s="1551"/>
      <c r="AM32" s="217"/>
      <c r="AN32" s="304"/>
      <c r="AO32" s="304"/>
      <c r="AP32" s="304"/>
      <c r="AQ32" s="304"/>
      <c r="AR32" s="304"/>
      <c r="AS32" s="354">
        <v>0</v>
      </c>
    </row>
    <row r="33" spans="1:45" ht="14.25" hidden="1" customHeight="1">
      <c r="Q33" s="312"/>
      <c r="R33" s="312"/>
      <c r="S33" s="1191"/>
      <c r="T33" s="393"/>
      <c r="U33" s="393"/>
      <c r="V33" s="259"/>
      <c r="W33" s="259"/>
      <c r="X33" s="259"/>
      <c r="Y33" s="259"/>
      <c r="Z33" s="259"/>
      <c r="AA33" s="259"/>
      <c r="AB33" s="259"/>
      <c r="AC33" s="259"/>
      <c r="AD33" s="259"/>
      <c r="AE33" s="259"/>
      <c r="AF33" s="259"/>
      <c r="AG33" s="259"/>
      <c r="AH33" s="259"/>
      <c r="AI33" s="259"/>
      <c r="AJ33" s="259"/>
      <c r="AK33" s="259"/>
      <c r="AL33" s="1551"/>
      <c r="AS33" s="1547">
        <v>0</v>
      </c>
    </row>
    <row r="34" spans="1:45" s="2380" customFormat="1" ht="18.75" hidden="1" customHeight="1">
      <c r="A34" s="1164"/>
      <c r="B34" s="1164"/>
      <c r="C34" s="1164"/>
      <c r="D34" s="1164"/>
      <c r="E34" s="1164"/>
      <c r="F34" s="1164"/>
      <c r="G34" s="1164"/>
      <c r="H34" s="1164"/>
      <c r="I34" s="1164"/>
      <c r="J34" s="1164"/>
      <c r="K34" s="1164"/>
      <c r="L34" s="1296"/>
      <c r="M34" s="1164"/>
      <c r="N34" s="1164"/>
      <c r="O34" s="1164"/>
      <c r="S34" s="2554" t="s">
        <v>424</v>
      </c>
      <c r="T34" s="2554"/>
      <c r="U34" s="1288"/>
      <c r="V34" s="2555" t="str">
        <f>IF(TITLE_DATE_PR_CHANGE="",IF(TITLE_DATE_PR="","",TITLE_DATE_PR),TITLE_DATE_PR_CHANGE)</f>
        <v/>
      </c>
      <c r="W34" s="2555"/>
      <c r="X34" s="2555"/>
      <c r="Y34" s="2555"/>
      <c r="Z34" s="2555"/>
      <c r="AA34" s="2555"/>
      <c r="AB34" s="2555"/>
      <c r="AC34" s="1551"/>
      <c r="AD34" s="2555" t="str">
        <f>IF(TITLE_DATE_PR_CHANGE="",IF(TITLE_DATE_PR="","",TITLE_DATE_PR),TITLE_DATE_PR_CHANGE)</f>
        <v/>
      </c>
      <c r="AE34" s="2555"/>
      <c r="AF34" s="2555"/>
      <c r="AG34" s="2555"/>
      <c r="AH34" s="2555"/>
      <c r="AI34" s="2555"/>
      <c r="AJ34" s="2555"/>
      <c r="AK34" s="1551"/>
      <c r="AL34" s="1551"/>
      <c r="AM34" s="217"/>
      <c r="AN34" s="304"/>
      <c r="AO34" s="304"/>
      <c r="AP34" s="304"/>
      <c r="AQ34" s="304"/>
      <c r="AR34" s="304"/>
      <c r="AS34" s="354">
        <v>0</v>
      </c>
    </row>
    <row r="35" spans="1:45" s="2380" customFormat="1" ht="18.75" hidden="1" customHeight="1">
      <c r="A35" s="1164"/>
      <c r="B35" s="1164"/>
      <c r="C35" s="1164"/>
      <c r="D35" s="1164"/>
      <c r="E35" s="1164"/>
      <c r="F35" s="1164"/>
      <c r="G35" s="1164"/>
      <c r="H35" s="1164"/>
      <c r="I35" s="1164"/>
      <c r="J35" s="1164"/>
      <c r="K35" s="1164"/>
      <c r="L35" s="1296"/>
      <c r="M35" s="1164"/>
      <c r="N35" s="1164"/>
      <c r="O35" s="1164"/>
      <c r="S35" s="2554" t="s">
        <v>425</v>
      </c>
      <c r="T35" s="2554"/>
      <c r="U35" s="1288"/>
      <c r="V35" s="2556" t="str">
        <f>IF(TITLE_NUMBER_PR_CHANGE="",IF(TITLE_NUMBER_PR="","",TITLE_NUMBER_PR),TITLE_NUMBER_PR_CHANGE)</f>
        <v/>
      </c>
      <c r="W35" s="2556"/>
      <c r="X35" s="2556"/>
      <c r="Y35" s="2556"/>
      <c r="Z35" s="2556"/>
      <c r="AA35" s="2556"/>
      <c r="AB35" s="2556"/>
      <c r="AC35" s="1551"/>
      <c r="AD35" s="2556" t="str">
        <f>IF(TITLE_NUMBER_PR_CHANGE="",IF(TITLE_NUMBER_PR="","",TITLE_NUMBER_PR),TITLE_NUMBER_PR_CHANGE)</f>
        <v/>
      </c>
      <c r="AE35" s="2556"/>
      <c r="AF35" s="2556"/>
      <c r="AG35" s="2556"/>
      <c r="AH35" s="2556"/>
      <c r="AI35" s="2556"/>
      <c r="AJ35" s="2556"/>
      <c r="AK35" s="1551"/>
      <c r="AL35" s="1551"/>
      <c r="AM35" s="217"/>
      <c r="AN35" s="304"/>
      <c r="AO35" s="304"/>
      <c r="AP35" s="304"/>
      <c r="AQ35" s="304"/>
      <c r="AR35" s="304"/>
      <c r="AS35" s="354">
        <v>0</v>
      </c>
    </row>
    <row r="36" spans="1:45" s="2380" customFormat="1" ht="0" hidden="1" customHeight="1">
      <c r="A36" s="1164"/>
      <c r="B36" s="1164"/>
      <c r="C36" s="1164"/>
      <c r="D36" s="1164"/>
      <c r="E36" s="1164"/>
      <c r="F36" s="1164"/>
      <c r="G36" s="1164"/>
      <c r="H36" s="1164"/>
      <c r="I36" s="1164"/>
      <c r="J36" s="1164"/>
      <c r="K36" s="1164"/>
      <c r="L36" s="1296"/>
      <c r="M36" s="1164"/>
      <c r="N36" s="1164"/>
      <c r="O36" s="1164"/>
      <c r="S36" s="1551"/>
      <c r="T36" s="1551"/>
      <c r="U36" s="1879"/>
      <c r="V36" s="1551"/>
      <c r="W36" s="1551"/>
      <c r="X36" s="1551"/>
      <c r="Y36" s="1551"/>
      <c r="Z36" s="1551"/>
      <c r="AA36" s="1551"/>
      <c r="AB36" s="1551"/>
      <c r="AC36" s="1558" t="s">
        <v>426</v>
      </c>
      <c r="AD36" s="1551"/>
      <c r="AE36" s="1551"/>
      <c r="AF36" s="1551"/>
      <c r="AG36" s="1551"/>
      <c r="AH36" s="1551"/>
      <c r="AI36" s="1551"/>
      <c r="AJ36" s="1551"/>
      <c r="AK36" s="1558" t="s">
        <v>426</v>
      </c>
      <c r="AN36" s="304"/>
      <c r="AO36" s="304"/>
      <c r="AP36" s="304"/>
      <c r="AQ36" s="304"/>
      <c r="AR36" s="304"/>
      <c r="AS36" s="354">
        <v>0</v>
      </c>
    </row>
    <row r="37" spans="1:45" ht="14.65" customHeight="1">
      <c r="Q37" s="312"/>
      <c r="R37" s="312"/>
      <c r="S37" s="1191"/>
      <c r="T37" s="393"/>
      <c r="U37" s="1160"/>
      <c r="V37" s="2575"/>
      <c r="W37" s="2575"/>
      <c r="X37" s="2575"/>
      <c r="Y37" s="2575"/>
      <c r="Z37" s="2575"/>
      <c r="AA37" s="2575"/>
      <c r="AB37" s="2575"/>
      <c r="AC37" s="2575"/>
      <c r="AD37" s="2575"/>
      <c r="AE37" s="2575"/>
      <c r="AF37" s="2575"/>
      <c r="AG37" s="2575"/>
      <c r="AH37" s="2575"/>
      <c r="AI37" s="2575"/>
      <c r="AJ37" s="2575"/>
      <c r="AK37" s="2575"/>
      <c r="AS37" s="1547">
        <v>14</v>
      </c>
    </row>
    <row r="38" spans="1:45" ht="14.65" customHeight="1">
      <c r="Q38" s="312"/>
      <c r="R38" s="312"/>
      <c r="S38" s="2435" t="s">
        <v>299</v>
      </c>
      <c r="T38" s="2435"/>
      <c r="U38" s="2435"/>
      <c r="V38" s="2435"/>
      <c r="W38" s="2435"/>
      <c r="X38" s="2435"/>
      <c r="Y38" s="2435"/>
      <c r="Z38" s="2435"/>
      <c r="AA38" s="2435"/>
      <c r="AB38" s="2435"/>
      <c r="AC38" s="2435"/>
      <c r="AD38" s="2435"/>
      <c r="AE38" s="2435"/>
      <c r="AF38" s="2435"/>
      <c r="AG38" s="2435"/>
      <c r="AH38" s="2435"/>
      <c r="AI38" s="2435"/>
      <c r="AJ38" s="2435"/>
      <c r="AK38" s="2435"/>
      <c r="AL38" s="2435"/>
      <c r="AM38" s="2435" t="s">
        <v>300</v>
      </c>
      <c r="AS38" s="1547">
        <v>14</v>
      </c>
    </row>
    <row r="39" spans="1:45" ht="14.65" customHeight="1">
      <c r="Q39" s="312"/>
      <c r="R39" s="312"/>
      <c r="S39" s="2576" t="s">
        <v>88</v>
      </c>
      <c r="T39" s="2524" t="s">
        <v>427</v>
      </c>
      <c r="U39" s="274"/>
      <c r="V39" s="2577" t="s">
        <v>428</v>
      </c>
      <c r="W39" s="2578"/>
      <c r="X39" s="2578"/>
      <c r="Y39" s="2578"/>
      <c r="Z39" s="2578"/>
      <c r="AA39" s="2578"/>
      <c r="AB39" s="2579"/>
      <c r="AC39" s="2580" t="s">
        <v>429</v>
      </c>
      <c r="AD39" s="2577" t="s">
        <v>428</v>
      </c>
      <c r="AE39" s="2578"/>
      <c r="AF39" s="2578"/>
      <c r="AG39" s="2578"/>
      <c r="AH39" s="2578"/>
      <c r="AI39" s="2578"/>
      <c r="AJ39" s="2579"/>
      <c r="AK39" s="2580" t="s">
        <v>430</v>
      </c>
      <c r="AL39" s="2583" t="s">
        <v>431</v>
      </c>
      <c r="AM39" s="2435"/>
      <c r="AS39" s="1547">
        <v>14</v>
      </c>
    </row>
    <row r="40" spans="1:45" ht="35.65" customHeight="1">
      <c r="Q40" s="312"/>
      <c r="R40" s="312"/>
      <c r="S40" s="2576"/>
      <c r="T40" s="2524"/>
      <c r="U40" s="953"/>
      <c r="V40" s="2494" t="s">
        <v>432</v>
      </c>
      <c r="W40" s="2572" t="s">
        <v>433</v>
      </c>
      <c r="X40" s="2417" t="s">
        <v>434</v>
      </c>
      <c r="Y40" s="2416"/>
      <c r="Z40" s="2417" t="s">
        <v>448</v>
      </c>
      <c r="AA40" s="2422"/>
      <c r="AB40" s="2416"/>
      <c r="AC40" s="2581"/>
      <c r="AD40" s="2494" t="s">
        <v>432</v>
      </c>
      <c r="AE40" s="2572" t="s">
        <v>433</v>
      </c>
      <c r="AF40" s="2417" t="s">
        <v>434</v>
      </c>
      <c r="AG40" s="2416"/>
      <c r="AH40" s="2417" t="s">
        <v>435</v>
      </c>
      <c r="AI40" s="2422"/>
      <c r="AJ40" s="2416"/>
      <c r="AK40" s="2581"/>
      <c r="AL40" s="2584"/>
      <c r="AM40" s="2435"/>
      <c r="AS40" s="1547">
        <v>34</v>
      </c>
    </row>
    <row r="41" spans="1:45" ht="35.65" customHeight="1">
      <c r="A41" s="1182"/>
      <c r="B41" s="1182" t="s">
        <v>136</v>
      </c>
      <c r="C41" s="1182" t="s">
        <v>137</v>
      </c>
      <c r="D41" s="1182" t="s">
        <v>138</v>
      </c>
      <c r="E41" s="1226" t="s">
        <v>436</v>
      </c>
      <c r="F41" s="1226" t="s">
        <v>437</v>
      </c>
      <c r="G41" s="1226" t="s">
        <v>438</v>
      </c>
      <c r="H41" s="1226" t="s">
        <v>439</v>
      </c>
      <c r="I41" s="1226" t="s">
        <v>440</v>
      </c>
      <c r="J41" s="1226" t="s">
        <v>441</v>
      </c>
      <c r="K41" s="1226" t="s">
        <v>442</v>
      </c>
      <c r="L41" s="1226" t="s">
        <v>417</v>
      </c>
      <c r="Q41" s="312"/>
      <c r="R41" s="312"/>
      <c r="S41" s="2576"/>
      <c r="T41" s="2524"/>
      <c r="U41" s="239"/>
      <c r="V41" s="2549"/>
      <c r="W41" s="2573"/>
      <c r="X41" s="1847" t="s">
        <v>443</v>
      </c>
      <c r="Y41" s="1847" t="s">
        <v>444</v>
      </c>
      <c r="Z41" s="1847" t="s">
        <v>445</v>
      </c>
      <c r="AA41" s="2529" t="s">
        <v>446</v>
      </c>
      <c r="AB41" s="2543"/>
      <c r="AC41" s="2582"/>
      <c r="AD41" s="2549"/>
      <c r="AE41" s="2573"/>
      <c r="AF41" s="1847" t="s">
        <v>443</v>
      </c>
      <c r="AG41" s="1847" t="s">
        <v>444</v>
      </c>
      <c r="AH41" s="1847" t="s">
        <v>445</v>
      </c>
      <c r="AI41" s="2529" t="s">
        <v>446</v>
      </c>
      <c r="AJ41" s="2543"/>
      <c r="AK41" s="2582"/>
      <c r="AL41" s="2585"/>
      <c r="AM41" s="2435"/>
      <c r="AS41" s="1547">
        <v>34</v>
      </c>
    </row>
    <row r="42" spans="1:45" s="2335" customFormat="1" ht="11.25" hidden="1" customHeight="1">
      <c r="A42" s="1182"/>
      <c r="B42" s="1182"/>
      <c r="C42" s="1182"/>
      <c r="D42" s="1182"/>
      <c r="E42" s="1182"/>
      <c r="F42" s="1182"/>
      <c r="G42" s="1182"/>
      <c r="H42" s="1182"/>
      <c r="I42" s="1182"/>
      <c r="J42" s="1182"/>
      <c r="K42" s="1182"/>
      <c r="L42" s="1226"/>
      <c r="M42" s="1874"/>
      <c r="N42" s="1874"/>
      <c r="O42" s="1874"/>
      <c r="P42" s="1162"/>
      <c r="Q42" s="1163"/>
      <c r="R42" s="1170">
        <v>1</v>
      </c>
      <c r="S42" s="1193" t="s">
        <v>109</v>
      </c>
      <c r="T42" s="1171" t="s">
        <v>110</v>
      </c>
      <c r="U42" s="1161" t="str">
        <f ca="1">OFFSET(U42,0,-1)</f>
        <v>2</v>
      </c>
      <c r="V42" s="1865">
        <f ca="1">OFFSET(V42,0,-1)+1</f>
        <v>3</v>
      </c>
      <c r="W42" s="1865"/>
      <c r="X42" s="1865">
        <f ca="1">OFFSET(X42,0,-1)+1</f>
        <v>1</v>
      </c>
      <c r="Y42" s="1865">
        <f ca="1">OFFSET(Y42,0,-1)+1</f>
        <v>2</v>
      </c>
      <c r="Z42" s="1865">
        <f ca="1">OFFSET(Z42,0,-1)+1</f>
        <v>3</v>
      </c>
      <c r="AA42" s="2574">
        <f ca="1">OFFSET(AA42,0,-1)+1</f>
        <v>4</v>
      </c>
      <c r="AB42" s="2574"/>
      <c r="AC42" s="1865">
        <f ca="1">OFFSET(AC42,0,-2)+1</f>
        <v>5</v>
      </c>
      <c r="AD42" s="1865">
        <f ca="1">OFFSET(AD42,0,-1)+1</f>
        <v>6</v>
      </c>
      <c r="AE42" s="1865"/>
      <c r="AF42" s="1865">
        <f ca="1">OFFSET(AF42,0,-1)+1</f>
        <v>1</v>
      </c>
      <c r="AG42" s="1865">
        <f ca="1">OFFSET(AG42,0,-1)+1</f>
        <v>2</v>
      </c>
      <c r="AH42" s="1865">
        <f ca="1">OFFSET(AH42,0,-1)+1</f>
        <v>3</v>
      </c>
      <c r="AI42" s="2574">
        <f ca="1">OFFSET(AI42,0,-1)+1</f>
        <v>4</v>
      </c>
      <c r="AJ42" s="2574"/>
      <c r="AK42" s="1865">
        <f ca="1">OFFSET(AK42,0,-2)+1</f>
        <v>5</v>
      </c>
      <c r="AL42" s="1161">
        <f ca="1">OFFSET(AL42,0,-1)</f>
        <v>5</v>
      </c>
      <c r="AM42" s="1865">
        <f ca="1">OFFSET(AM42,0,-1)+1</f>
        <v>6</v>
      </c>
      <c r="AN42" s="1552"/>
      <c r="AO42" s="1552"/>
      <c r="AP42" s="1552"/>
      <c r="AQ42" s="1552"/>
      <c r="AR42" s="1552"/>
      <c r="AS42" s="1557">
        <v>0</v>
      </c>
    </row>
    <row r="43" spans="1:45" ht="21.95" customHeight="1">
      <c r="A43" s="1183" t="s">
        <v>211</v>
      </c>
      <c r="B43" s="1183"/>
      <c r="C43" s="1183"/>
      <c r="D43" s="1183"/>
      <c r="E43" s="2589">
        <v>1</v>
      </c>
      <c r="F43" s="1183"/>
      <c r="G43" s="1183"/>
      <c r="H43" s="1183"/>
      <c r="I43" s="1183"/>
      <c r="J43" s="1183"/>
      <c r="K43" s="1183"/>
      <c r="L43" s="1226"/>
      <c r="M43" s="1526"/>
      <c r="N43" s="1526"/>
      <c r="O43" s="1526"/>
      <c r="P43" s="1506"/>
      <c r="Q43" s="296"/>
      <c r="R43" s="291"/>
      <c r="S43" s="1867">
        <f>INDEX(PT_DIFFERENTIATION_NUM_NTAR,MATCH(A43,PT_DIFFERENTIATION_NTAR_ID,0))</f>
        <v>0</v>
      </c>
      <c r="T43" s="1441" t="s">
        <v>124</v>
      </c>
      <c r="U43" s="237"/>
      <c r="V43" s="2557"/>
      <c r="W43" s="2558"/>
      <c r="X43" s="2558"/>
      <c r="Y43" s="2558"/>
      <c r="Z43" s="2558"/>
      <c r="AA43" s="2558"/>
      <c r="AB43" s="2558"/>
      <c r="AC43" s="2559"/>
      <c r="AD43" s="2557" t="str">
        <f>INDEX(PT_DIFFERENTIATION_NTAR,MATCH(A43,PT_DIFFERENTIATION_NTAR_ID,0))</f>
        <v/>
      </c>
      <c r="AE43" s="2558"/>
      <c r="AF43" s="2558"/>
      <c r="AG43" s="2558"/>
      <c r="AH43" s="2558"/>
      <c r="AI43" s="2558"/>
      <c r="AJ43" s="2558"/>
      <c r="AK43" s="2558"/>
      <c r="AL43" s="255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0"/>
      <c r="AP43" s="1540" t="str">
        <f t="shared" ref="AP43:AP57" si="1">IF(T43="","",T43)</f>
        <v>Наименование тарифа</v>
      </c>
      <c r="AQ43" s="1540"/>
      <c r="AR43" s="1540"/>
      <c r="AS43" s="1547">
        <v>21</v>
      </c>
    </row>
    <row r="44" spans="1:45" ht="21.95" customHeight="1">
      <c r="A44" s="1183" t="s">
        <v>211</v>
      </c>
      <c r="B44" s="1183" t="s">
        <v>212</v>
      </c>
      <c r="C44" s="1183"/>
      <c r="D44" s="1183"/>
      <c r="E44" s="2590"/>
      <c r="F44" s="2589">
        <v>1</v>
      </c>
      <c r="G44" s="1183"/>
      <c r="H44" s="1183"/>
      <c r="I44" s="1183"/>
      <c r="J44" s="1183"/>
      <c r="K44" s="1183"/>
      <c r="L44" s="1226"/>
      <c r="M44" s="1526"/>
      <c r="N44" s="1526"/>
      <c r="O44" s="1526"/>
      <c r="P44" s="1849"/>
      <c r="Q44" s="288"/>
      <c r="R44" s="289"/>
      <c r="S44" s="1867" t="str">
        <f>INDEX(PT_DIFFERENTIATION_NUM_TER,MATCH(B44,PT_DIFFERENTIATION_TER_ID,0))</f>
        <v>.</v>
      </c>
      <c r="T44" s="1438" t="s">
        <v>396</v>
      </c>
      <c r="U44" s="237"/>
      <c r="V44" s="2557"/>
      <c r="W44" s="2558"/>
      <c r="X44" s="2558"/>
      <c r="Y44" s="2558"/>
      <c r="Z44" s="2558"/>
      <c r="AA44" s="2558"/>
      <c r="AB44" s="2558"/>
      <c r="AC44" s="2559"/>
      <c r="AD44" s="2557" t="str">
        <f>INDEX(PT_DIFFERENTIATION_TER,MATCH(B44,PT_DIFFERENTIATION_TER_ID,0))</f>
        <v/>
      </c>
      <c r="AE44" s="2558"/>
      <c r="AF44" s="2558"/>
      <c r="AG44" s="2558"/>
      <c r="AH44" s="2558"/>
      <c r="AI44" s="2558"/>
      <c r="AJ44" s="2558"/>
      <c r="AK44" s="2558"/>
      <c r="AL44" s="2559"/>
      <c r="AM44" s="1174" t="s">
        <v>397</v>
      </c>
      <c r="AO44" s="1540"/>
      <c r="AP44" s="1540" t="str">
        <f t="shared" si="1"/>
        <v>Территория действия тарифа</v>
      </c>
      <c r="AQ44" s="1540"/>
      <c r="AR44" s="1540"/>
      <c r="AS44" s="1547">
        <v>21</v>
      </c>
    </row>
    <row r="45" spans="1:45" ht="24" customHeight="1">
      <c r="A45" s="1183" t="s">
        <v>211</v>
      </c>
      <c r="B45" s="1183" t="s">
        <v>212</v>
      </c>
      <c r="C45" s="1183" t="s">
        <v>213</v>
      </c>
      <c r="D45" s="1183"/>
      <c r="E45" s="2590"/>
      <c r="F45" s="2590"/>
      <c r="G45" s="2589">
        <v>1</v>
      </c>
      <c r="H45" s="1183"/>
      <c r="I45" s="1183"/>
      <c r="J45" s="1183"/>
      <c r="K45" s="1183"/>
      <c r="L45" s="1226"/>
      <c r="M45" s="1526"/>
      <c r="N45" s="1526"/>
      <c r="O45" s="1526"/>
      <c r="P45" s="290"/>
      <c r="Q45" s="288"/>
      <c r="R45" s="289"/>
      <c r="S45" s="1867" t="str">
        <f>INDEX(PT_DIFFERENTIATION_NUM_CS,MATCH(C45,PT_DIFFERENTIATION_CS_ID,0))</f>
        <v>..</v>
      </c>
      <c r="T45" s="246" t="s">
        <v>398</v>
      </c>
      <c r="U45" s="237"/>
      <c r="V45" s="2557"/>
      <c r="W45" s="2558"/>
      <c r="X45" s="2558"/>
      <c r="Y45" s="2558"/>
      <c r="Z45" s="2558"/>
      <c r="AA45" s="2558"/>
      <c r="AB45" s="2558"/>
      <c r="AC45" s="2559"/>
      <c r="AD45" s="2557" t="str">
        <f>INDEX(PT_DIFFERENTIATION_CS,MATCH(C45,PT_DIFFERENTIATION_CS_ID,0))</f>
        <v/>
      </c>
      <c r="AE45" s="2558"/>
      <c r="AF45" s="2558"/>
      <c r="AG45" s="2558"/>
      <c r="AH45" s="2558"/>
      <c r="AI45" s="2558"/>
      <c r="AJ45" s="2558"/>
      <c r="AK45" s="2558"/>
      <c r="AL45" s="2559"/>
      <c r="AM45" s="1174" t="s">
        <v>399</v>
      </c>
      <c r="AO45" s="1540"/>
      <c r="AP45" s="1540" t="str">
        <f t="shared" si="1"/>
        <v xml:space="preserve">Наименование системы теплоснабжения </v>
      </c>
      <c r="AQ45" s="1540"/>
      <c r="AR45" s="1540"/>
      <c r="AS45" s="1547">
        <v>23</v>
      </c>
    </row>
    <row r="46" spans="1:45" ht="21.95" customHeight="1">
      <c r="A46" s="1183" t="s">
        <v>211</v>
      </c>
      <c r="B46" s="1183" t="s">
        <v>212</v>
      </c>
      <c r="C46" s="1183" t="s">
        <v>213</v>
      </c>
      <c r="D46" s="1183" t="s">
        <v>214</v>
      </c>
      <c r="E46" s="2590"/>
      <c r="F46" s="2590"/>
      <c r="G46" s="2590"/>
      <c r="H46" s="2589">
        <v>1</v>
      </c>
      <c r="I46" s="1183"/>
      <c r="J46" s="1183"/>
      <c r="K46" s="1183"/>
      <c r="L46" s="1226"/>
      <c r="M46" s="1526"/>
      <c r="N46" s="1526"/>
      <c r="O46" s="1526"/>
      <c r="P46" s="290"/>
      <c r="Q46" s="288"/>
      <c r="R46" s="289"/>
      <c r="S46" s="1867" t="str">
        <f>INDEX(PT_DIFFERENTIATION_NUM_IST_TE,MATCH(D46,PT_DIFFERENTIATION_IST_TE_ID,0))</f>
        <v>...</v>
      </c>
      <c r="T46" s="247" t="s">
        <v>400</v>
      </c>
      <c r="U46" s="237"/>
      <c r="V46" s="2557"/>
      <c r="W46" s="2558"/>
      <c r="X46" s="2558"/>
      <c r="Y46" s="2558"/>
      <c r="Z46" s="2558"/>
      <c r="AA46" s="2558"/>
      <c r="AB46" s="2558"/>
      <c r="AC46" s="2559"/>
      <c r="AD46" s="2557" t="str">
        <f>INDEX(PT_DIFFERENTIATION_IST_TE,MATCH(D46,PT_DIFFERENTIATION_IST_TE_ID,0))</f>
        <v/>
      </c>
      <c r="AE46" s="2558"/>
      <c r="AF46" s="2558"/>
      <c r="AG46" s="2558"/>
      <c r="AH46" s="2558"/>
      <c r="AI46" s="2558"/>
      <c r="AJ46" s="2558"/>
      <c r="AK46" s="2558"/>
      <c r="AL46" s="2559"/>
      <c r="AM46" s="1174" t="s">
        <v>401</v>
      </c>
      <c r="AO46" s="1540"/>
      <c r="AP46" s="1540" t="str">
        <f t="shared" si="1"/>
        <v xml:space="preserve">Источник тепловой энергии  </v>
      </c>
      <c r="AQ46" s="1540"/>
      <c r="AR46" s="1540"/>
      <c r="AS46" s="1547">
        <v>21</v>
      </c>
    </row>
    <row r="47" spans="1:45" ht="49.5" customHeight="1">
      <c r="A47" s="1183" t="s">
        <v>211</v>
      </c>
      <c r="B47" s="1183" t="s">
        <v>212</v>
      </c>
      <c r="C47" s="1183" t="s">
        <v>213</v>
      </c>
      <c r="D47" s="1183" t="s">
        <v>214</v>
      </c>
      <c r="E47" s="2590"/>
      <c r="F47" s="2590"/>
      <c r="G47" s="2590"/>
      <c r="H47" s="2590"/>
      <c r="I47" s="2435" t="str">
        <f>S46&amp;".1"</f>
        <v>....1</v>
      </c>
      <c r="J47" s="1183"/>
      <c r="K47" s="1183"/>
      <c r="L47" s="1226" t="s">
        <v>402</v>
      </c>
      <c r="P47" s="2567">
        <v>1</v>
      </c>
      <c r="Q47" s="1863"/>
      <c r="R47" s="292"/>
      <c r="S47" s="1867" t="str">
        <f>$I47</f>
        <v>....1</v>
      </c>
      <c r="T47" s="222" t="s">
        <v>403</v>
      </c>
      <c r="U47" s="237"/>
      <c r="V47" s="2551"/>
      <c r="W47" s="2552"/>
      <c r="X47" s="2552"/>
      <c r="Y47" s="2552"/>
      <c r="Z47" s="2552"/>
      <c r="AA47" s="2552"/>
      <c r="AB47" s="2552"/>
      <c r="AC47" s="2553"/>
      <c r="AD47" s="2551"/>
      <c r="AE47" s="2552"/>
      <c r="AF47" s="2552"/>
      <c r="AG47" s="2552"/>
      <c r="AH47" s="2552"/>
      <c r="AI47" s="2552"/>
      <c r="AJ47" s="2552"/>
      <c r="AK47" s="2552"/>
      <c r="AL47" s="2553"/>
      <c r="AM47" s="1174" t="s">
        <v>404</v>
      </c>
      <c r="AO47" s="1540"/>
      <c r="AP47" s="1540" t="str">
        <f t="shared" si="1"/>
        <v>Схема подключения теплопотребляющей установки к коллектору источника тепловой энергии</v>
      </c>
      <c r="AQ47" s="1540"/>
      <c r="AR47" s="1540"/>
      <c r="AS47" s="1547">
        <v>47</v>
      </c>
    </row>
    <row r="48" spans="1:45" ht="21.95" customHeight="1">
      <c r="A48" s="1183" t="s">
        <v>211</v>
      </c>
      <c r="B48" s="1183" t="s">
        <v>212</v>
      </c>
      <c r="C48" s="1183" t="s">
        <v>213</v>
      </c>
      <c r="D48" s="1183" t="s">
        <v>214</v>
      </c>
      <c r="E48" s="2590"/>
      <c r="F48" s="2590"/>
      <c r="G48" s="2590"/>
      <c r="H48" s="2590"/>
      <c r="I48" s="2417"/>
      <c r="J48" s="2435" t="str">
        <f>I47&amp;".1"</f>
        <v>....1.1</v>
      </c>
      <c r="K48" s="1183"/>
      <c r="L48" s="1226" t="s">
        <v>405</v>
      </c>
      <c r="P48" s="2567"/>
      <c r="Q48" s="2567">
        <v>1</v>
      </c>
      <c r="R48" s="293"/>
      <c r="S48" s="1867" t="str">
        <f>$J48</f>
        <v>....1.1</v>
      </c>
      <c r="T48" s="223" t="s">
        <v>406</v>
      </c>
      <c r="U48" s="237"/>
      <c r="V48" s="2551"/>
      <c r="W48" s="2552"/>
      <c r="X48" s="2552"/>
      <c r="Y48" s="2552"/>
      <c r="Z48" s="2552"/>
      <c r="AA48" s="2552"/>
      <c r="AB48" s="2552"/>
      <c r="AC48" s="2553"/>
      <c r="AD48" s="2551"/>
      <c r="AE48" s="2552"/>
      <c r="AF48" s="2552"/>
      <c r="AG48" s="2552"/>
      <c r="AH48" s="2552"/>
      <c r="AI48" s="2552"/>
      <c r="AJ48" s="2552"/>
      <c r="AK48" s="2552"/>
      <c r="AL48" s="2553"/>
      <c r="AM48" s="1174" t="s">
        <v>407</v>
      </c>
      <c r="AO48" s="1540"/>
      <c r="AP48" s="1540" t="str">
        <f t="shared" si="1"/>
        <v>Группа потребителей</v>
      </c>
      <c r="AQ48" s="1540"/>
      <c r="AR48" s="1540"/>
      <c r="AS48" s="1547">
        <v>21</v>
      </c>
    </row>
    <row r="49" spans="1:45" ht="21.95" customHeight="1">
      <c r="A49" s="1183" t="s">
        <v>211</v>
      </c>
      <c r="B49" s="1183" t="s">
        <v>212</v>
      </c>
      <c r="C49" s="1183" t="s">
        <v>213</v>
      </c>
      <c r="D49" s="1183" t="s">
        <v>214</v>
      </c>
      <c r="E49" s="2590"/>
      <c r="F49" s="2590"/>
      <c r="G49" s="2590"/>
      <c r="H49" s="2590"/>
      <c r="I49" s="2417"/>
      <c r="J49" s="2417"/>
      <c r="K49" s="2435" t="str">
        <f>J48&amp;".1"</f>
        <v>....1.1.1</v>
      </c>
      <c r="L49" s="1226" t="s">
        <v>408</v>
      </c>
      <c r="P49" s="2567"/>
      <c r="Q49" s="2567"/>
      <c r="R49" s="293">
        <v>1</v>
      </c>
      <c r="S49" s="1867" t="str">
        <f>$K49</f>
        <v>....1.1.1</v>
      </c>
      <c r="T49" s="1263"/>
      <c r="U49" s="237"/>
      <c r="V49" s="687"/>
      <c r="W49" s="262"/>
      <c r="X49" s="687"/>
      <c r="Y49" s="1173"/>
      <c r="Z49" s="2568"/>
      <c r="AA49" s="2445" t="s">
        <v>62</v>
      </c>
      <c r="AB49" s="2568"/>
      <c r="AC49" s="2445" t="s">
        <v>62</v>
      </c>
      <c r="AD49" s="687"/>
      <c r="AE49" s="262"/>
      <c r="AF49" s="687"/>
      <c r="AG49" s="1173"/>
      <c r="AH49" s="2568"/>
      <c r="AI49" s="2445" t="s">
        <v>62</v>
      </c>
      <c r="AJ49" s="2570"/>
      <c r="AK49" s="2445" t="s">
        <v>62</v>
      </c>
      <c r="AL49" s="1264"/>
      <c r="AM49" s="2586" t="s">
        <v>409</v>
      </c>
      <c r="AN49" s="1552" t="e">
        <f ca="1">STRCHECKDATE(V50:AL50)</f>
        <v>#NAME?</v>
      </c>
      <c r="AO49" s="1540"/>
      <c r="AP49" s="1540" t="str">
        <f t="shared" si="1"/>
        <v/>
      </c>
      <c r="AQ49" s="1540"/>
      <c r="AR49" s="1540"/>
      <c r="AS49" s="1547">
        <v>21</v>
      </c>
    </row>
    <row r="50" spans="1:45" ht="1.1499999999999999" customHeight="1">
      <c r="A50" s="1183" t="s">
        <v>211</v>
      </c>
      <c r="B50" s="1183" t="s">
        <v>212</v>
      </c>
      <c r="C50" s="1183" t="s">
        <v>213</v>
      </c>
      <c r="D50" s="1183" t="s">
        <v>214</v>
      </c>
      <c r="E50" s="2590"/>
      <c r="F50" s="2590"/>
      <c r="G50" s="2590"/>
      <c r="H50" s="2590"/>
      <c r="I50" s="2417"/>
      <c r="J50" s="2417"/>
      <c r="K50" s="2435"/>
      <c r="L50" s="1226"/>
      <c r="P50" s="2567"/>
      <c r="Q50" s="2567"/>
      <c r="R50" s="293"/>
      <c r="S50" s="1876"/>
      <c r="T50" s="237"/>
      <c r="U50" s="237"/>
      <c r="V50" s="262"/>
      <c r="W50" s="262"/>
      <c r="X50" s="262"/>
      <c r="Y50" s="265" t="str">
        <f>Z49&amp;"-"&amp;AB49</f>
        <v>-</v>
      </c>
      <c r="Z50" s="2569"/>
      <c r="AA50" s="2445"/>
      <c r="AB50" s="2569"/>
      <c r="AC50" s="2445"/>
      <c r="AD50" s="262"/>
      <c r="AE50" s="262"/>
      <c r="AF50" s="262"/>
      <c r="AG50" s="265" t="str">
        <f>AH49&amp;"-"&amp;AJ49</f>
        <v>-</v>
      </c>
      <c r="AH50" s="2569"/>
      <c r="AI50" s="2445"/>
      <c r="AJ50" s="2571"/>
      <c r="AK50" s="2445"/>
      <c r="AL50" s="1265"/>
      <c r="AM50" s="2587"/>
      <c r="AO50" s="1540"/>
      <c r="AP50" s="1540" t="str">
        <f t="shared" si="1"/>
        <v/>
      </c>
      <c r="AQ50" s="1540"/>
      <c r="AR50" s="1540"/>
      <c r="AS50" s="1547">
        <v>1</v>
      </c>
    </row>
    <row r="51" spans="1:45" ht="11.45" customHeight="1">
      <c r="A51" s="1183" t="s">
        <v>211</v>
      </c>
      <c r="B51" s="1183" t="s">
        <v>212</v>
      </c>
      <c r="C51" s="1183" t="s">
        <v>213</v>
      </c>
      <c r="D51" s="1183" t="s">
        <v>214</v>
      </c>
      <c r="E51" s="2590"/>
      <c r="F51" s="2590"/>
      <c r="G51" s="2590"/>
      <c r="H51" s="2590"/>
      <c r="I51" s="2417"/>
      <c r="J51" s="2435"/>
      <c r="K51" s="1183"/>
      <c r="L51" s="1226"/>
      <c r="P51" s="2567"/>
      <c r="Q51" s="2567"/>
      <c r="R51" s="292"/>
      <c r="S51" s="1194"/>
      <c r="T51" s="225" t="s">
        <v>410</v>
      </c>
      <c r="U51" s="536"/>
      <c r="V51" s="536"/>
      <c r="W51" s="536"/>
      <c r="X51" s="536"/>
      <c r="Y51" s="536"/>
      <c r="Z51" s="536"/>
      <c r="AA51" s="536"/>
      <c r="AB51" s="536"/>
      <c r="AC51" s="536"/>
      <c r="AD51" s="536"/>
      <c r="AE51" s="536"/>
      <c r="AF51" s="536"/>
      <c r="AG51" s="536"/>
      <c r="AH51" s="536"/>
      <c r="AI51" s="536"/>
      <c r="AJ51" s="536"/>
      <c r="AK51" s="536"/>
      <c r="AL51" s="261"/>
      <c r="AM51" s="2588"/>
      <c r="AO51" s="1540"/>
      <c r="AP51" s="1540" t="str">
        <f t="shared" si="1"/>
        <v>Добавить вид теплоносителя (параметры теплоносителя)</v>
      </c>
      <c r="AQ51" s="1540"/>
      <c r="AR51" s="1540"/>
      <c r="AS51" s="1547">
        <v>11</v>
      </c>
    </row>
    <row r="52" spans="1:45" ht="11.45" customHeight="1">
      <c r="A52" s="1183" t="s">
        <v>211</v>
      </c>
      <c r="B52" s="1183" t="s">
        <v>212</v>
      </c>
      <c r="C52" s="1183" t="s">
        <v>213</v>
      </c>
      <c r="D52" s="1183" t="s">
        <v>214</v>
      </c>
      <c r="E52" s="2590"/>
      <c r="F52" s="2590"/>
      <c r="G52" s="2590"/>
      <c r="H52" s="2590"/>
      <c r="I52" s="2435"/>
      <c r="J52" s="1183"/>
      <c r="K52" s="1183"/>
      <c r="L52" s="1226"/>
      <c r="P52" s="2567"/>
      <c r="Q52" s="1863"/>
      <c r="R52" s="292"/>
      <c r="S52" s="1194"/>
      <c r="T52" s="224" t="s">
        <v>411</v>
      </c>
      <c r="U52" s="536"/>
      <c r="V52" s="536"/>
      <c r="W52" s="536"/>
      <c r="X52" s="536"/>
      <c r="Y52" s="536"/>
      <c r="Z52" s="536"/>
      <c r="AA52" s="536"/>
      <c r="AB52" s="536"/>
      <c r="AC52" s="302"/>
      <c r="AD52" s="536"/>
      <c r="AE52" s="536"/>
      <c r="AF52" s="536"/>
      <c r="AG52" s="536"/>
      <c r="AH52" s="536"/>
      <c r="AI52" s="536"/>
      <c r="AJ52" s="536"/>
      <c r="AK52" s="302"/>
      <c r="AL52" s="536"/>
      <c r="AM52" s="240"/>
      <c r="AO52" s="1540"/>
      <c r="AP52" s="1540" t="str">
        <f t="shared" si="1"/>
        <v>Добавить группу потребителей</v>
      </c>
      <c r="AQ52" s="1540"/>
      <c r="AR52" s="1540"/>
      <c r="AS52" s="1547">
        <v>11</v>
      </c>
    </row>
    <row r="53" spans="1:45" ht="14.65" customHeight="1">
      <c r="A53" s="1183" t="s">
        <v>211</v>
      </c>
      <c r="B53" s="1183" t="s">
        <v>212</v>
      </c>
      <c r="C53" s="1183" t="s">
        <v>213</v>
      </c>
      <c r="D53" s="1183" t="s">
        <v>214</v>
      </c>
      <c r="E53" s="2590"/>
      <c r="F53" s="2590"/>
      <c r="G53" s="2590"/>
      <c r="H53" s="2589"/>
      <c r="I53" s="1183"/>
      <c r="J53" s="1183"/>
      <c r="K53" s="1183"/>
      <c r="L53" s="1226"/>
      <c r="M53" s="1526"/>
      <c r="N53" s="1526"/>
      <c r="O53" s="1551"/>
      <c r="P53" s="296"/>
      <c r="Q53" s="311"/>
      <c r="R53" s="291"/>
      <c r="S53" s="1194"/>
      <c r="T53" s="301" t="s">
        <v>412</v>
      </c>
      <c r="U53" s="536"/>
      <c r="V53" s="536"/>
      <c r="W53" s="536"/>
      <c r="X53" s="536"/>
      <c r="Y53" s="536"/>
      <c r="Z53" s="536"/>
      <c r="AA53" s="536"/>
      <c r="AB53" s="536"/>
      <c r="AC53" s="302"/>
      <c r="AD53" s="536"/>
      <c r="AE53" s="536"/>
      <c r="AF53" s="536"/>
      <c r="AG53" s="536"/>
      <c r="AH53" s="536"/>
      <c r="AI53" s="536"/>
      <c r="AJ53" s="536"/>
      <c r="AK53" s="302"/>
      <c r="AL53" s="536"/>
      <c r="AM53" s="240"/>
      <c r="AO53" s="1540"/>
      <c r="AP53" s="1540" t="str">
        <f t="shared" si="1"/>
        <v>Добавить схему подключения</v>
      </c>
      <c r="AQ53" s="1540"/>
      <c r="AR53" s="1540"/>
      <c r="AS53" s="1547">
        <v>14</v>
      </c>
    </row>
    <row r="54" spans="1:45" s="2344" customFormat="1" ht="1.1499999999999999" customHeight="1">
      <c r="A54" s="1183" t="s">
        <v>211</v>
      </c>
      <c r="B54" s="1183" t="s">
        <v>212</v>
      </c>
      <c r="C54" s="1183" t="s">
        <v>213</v>
      </c>
      <c r="D54" s="1883"/>
      <c r="E54" s="2590"/>
      <c r="F54" s="2590"/>
      <c r="G54" s="2589"/>
      <c r="H54" s="1883"/>
      <c r="I54" s="1883"/>
      <c r="J54" s="1883"/>
      <c r="K54" s="1883"/>
      <c r="L54" s="1296"/>
      <c r="M54" s="1526"/>
      <c r="N54" s="1526"/>
      <c r="O54" s="1551"/>
      <c r="P54" s="1232"/>
      <c r="Q54" s="1233"/>
      <c r="R54" s="1232"/>
      <c r="S54" s="1238"/>
      <c r="T54" s="1241" t="s">
        <v>413</v>
      </c>
      <c r="U54" s="1240"/>
      <c r="V54" s="1240"/>
      <c r="W54" s="1240"/>
      <c r="X54" s="1240"/>
      <c r="Y54" s="1240"/>
      <c r="Z54" s="1240"/>
      <c r="AA54" s="1240"/>
      <c r="AB54" s="1240"/>
      <c r="AC54" s="1240"/>
      <c r="AD54" s="1240"/>
      <c r="AE54" s="1240"/>
      <c r="AF54" s="1240"/>
      <c r="AG54" s="1240"/>
      <c r="AH54" s="1240"/>
      <c r="AI54" s="1240"/>
      <c r="AJ54" s="1240"/>
      <c r="AK54" s="1240"/>
      <c r="AL54" s="1240"/>
      <c r="AM54" s="1240"/>
      <c r="AO54" s="1167"/>
      <c r="AP54" s="1167" t="str">
        <f t="shared" si="1"/>
        <v>Добавить источник для дифференциации</v>
      </c>
      <c r="AQ54" s="1167"/>
      <c r="AR54" s="1167"/>
      <c r="AS54" s="1558">
        <v>1</v>
      </c>
    </row>
    <row r="55" spans="1:45" s="2344" customFormat="1" ht="1.1499999999999999" customHeight="1">
      <c r="A55" s="1183" t="s">
        <v>211</v>
      </c>
      <c r="B55" s="1183" t="s">
        <v>212</v>
      </c>
      <c r="C55" s="1883"/>
      <c r="D55" s="1883"/>
      <c r="E55" s="2590"/>
      <c r="F55" s="2589"/>
      <c r="G55" s="1883"/>
      <c r="H55" s="1883"/>
      <c r="I55" s="1883"/>
      <c r="J55" s="1883"/>
      <c r="K55" s="1883"/>
      <c r="L55" s="1296"/>
      <c r="M55" s="1884"/>
      <c r="N55" s="1884"/>
      <c r="O55" s="1551"/>
      <c r="P55" s="1232"/>
      <c r="Q55" s="1233"/>
      <c r="R55" s="1232"/>
      <c r="S55" s="1238"/>
      <c r="T55" s="1241" t="s">
        <v>414</v>
      </c>
      <c r="U55" s="1240"/>
      <c r="V55" s="1240"/>
      <c r="W55" s="1240"/>
      <c r="X55" s="1240"/>
      <c r="Y55" s="1240"/>
      <c r="Z55" s="1240"/>
      <c r="AA55" s="1240"/>
      <c r="AB55" s="1240"/>
      <c r="AC55" s="1240"/>
      <c r="AD55" s="1240"/>
      <c r="AE55" s="1240"/>
      <c r="AF55" s="1240"/>
      <c r="AG55" s="1240"/>
      <c r="AH55" s="1240"/>
      <c r="AI55" s="1240"/>
      <c r="AJ55" s="1240"/>
      <c r="AK55" s="1240"/>
      <c r="AL55" s="1240"/>
      <c r="AM55" s="1240"/>
      <c r="AO55" s="1167"/>
      <c r="AP55" s="1167" t="str">
        <f t="shared" si="1"/>
        <v>Добавить централизованную систему для дифференциации</v>
      </c>
      <c r="AQ55" s="1167"/>
      <c r="AR55" s="1167"/>
      <c r="AS55" s="1558">
        <v>1</v>
      </c>
    </row>
    <row r="56" spans="1:45" s="2344" customFormat="1" ht="1.1499999999999999" customHeight="1">
      <c r="A56" s="1183" t="s">
        <v>211</v>
      </c>
      <c r="B56" s="1183"/>
      <c r="C56" s="1183"/>
      <c r="D56" s="1183"/>
      <c r="E56" s="2589"/>
      <c r="F56" s="1183"/>
      <c r="G56" s="1183"/>
      <c r="H56" s="1183"/>
      <c r="I56" s="1183"/>
      <c r="J56" s="1183"/>
      <c r="K56" s="1183"/>
      <c r="L56" s="1226"/>
      <c r="M56" s="1884"/>
      <c r="N56" s="1884"/>
      <c r="O56" s="1551"/>
      <c r="P56" s="316"/>
      <c r="Q56" s="1260"/>
      <c r="R56" s="316"/>
      <c r="S56" s="1238"/>
      <c r="T56" s="1241" t="s">
        <v>415</v>
      </c>
      <c r="U56" s="1240"/>
      <c r="V56" s="1240"/>
      <c r="W56" s="1240"/>
      <c r="X56" s="1240"/>
      <c r="Y56" s="1240"/>
      <c r="Z56" s="1240"/>
      <c r="AA56" s="1240"/>
      <c r="AB56" s="1240"/>
      <c r="AC56" s="1240"/>
      <c r="AD56" s="1240"/>
      <c r="AE56" s="1240"/>
      <c r="AF56" s="1240"/>
      <c r="AG56" s="1240"/>
      <c r="AH56" s="1240"/>
      <c r="AI56" s="1240"/>
      <c r="AJ56" s="1240"/>
      <c r="AK56" s="1240"/>
      <c r="AL56" s="1240"/>
      <c r="AM56" s="1240"/>
      <c r="AO56" s="1540"/>
      <c r="AP56" s="1540" t="str">
        <f t="shared" si="1"/>
        <v>Добавить территорию для дифференциации</v>
      </c>
      <c r="AQ56" s="1540"/>
      <c r="AR56" s="1540"/>
      <c r="AS56" s="1552">
        <v>1</v>
      </c>
    </row>
    <row r="57" spans="1:45" s="2344" customFormat="1" ht="1.1499999999999999" customHeight="1">
      <c r="A57" s="1883"/>
      <c r="B57" s="1883"/>
      <c r="C57" s="1883"/>
      <c r="D57" s="1883"/>
      <c r="E57" s="1183"/>
      <c r="F57" s="1883"/>
      <c r="G57" s="1883"/>
      <c r="H57" s="1883"/>
      <c r="I57" s="1883"/>
      <c r="J57" s="1883"/>
      <c r="K57" s="1883"/>
      <c r="L57" s="1296"/>
      <c r="M57" s="1884"/>
      <c r="N57" s="1884"/>
      <c r="O57" s="1551"/>
      <c r="P57" s="1232"/>
      <c r="Q57" s="1233"/>
      <c r="R57" s="1232"/>
      <c r="S57" s="1238"/>
      <c r="T57" s="1241" t="s">
        <v>447</v>
      </c>
      <c r="U57" s="1240"/>
      <c r="V57" s="1240"/>
      <c r="W57" s="1240"/>
      <c r="X57" s="1240"/>
      <c r="Y57" s="1240"/>
      <c r="Z57" s="1240"/>
      <c r="AA57" s="1240"/>
      <c r="AB57" s="1240"/>
      <c r="AC57" s="1240"/>
      <c r="AD57" s="1240"/>
      <c r="AE57" s="1240"/>
      <c r="AF57" s="1240"/>
      <c r="AG57" s="1240"/>
      <c r="AH57" s="1240"/>
      <c r="AI57" s="1240"/>
      <c r="AJ57" s="1240"/>
      <c r="AK57" s="1240"/>
      <c r="AL57" s="1240"/>
      <c r="AM57" s="1240"/>
      <c r="AO57" s="1167"/>
      <c r="AP57" s="1167" t="str">
        <f t="shared" si="1"/>
        <v>Добавить наименование тарифа</v>
      </c>
      <c r="AQ57" s="1167"/>
      <c r="AR57" s="1167"/>
      <c r="AS57" s="1558">
        <v>1</v>
      </c>
    </row>
    <row r="58" spans="1:45" ht="11.45" customHeight="1">
      <c r="M58" s="1547"/>
      <c r="N58" s="1547"/>
      <c r="O58" s="1551"/>
      <c r="P58" s="1547"/>
      <c r="Q58" s="1547"/>
      <c r="R58" s="1547"/>
      <c r="S58" s="1547"/>
      <c r="AN58" s="1547"/>
      <c r="AO58" s="1547"/>
      <c r="AP58" s="1547"/>
      <c r="AQ58" s="1547"/>
      <c r="AR58" s="1547"/>
      <c r="AS58" s="1547">
        <v>11</v>
      </c>
    </row>
    <row r="59" spans="1:45" ht="28.5" customHeight="1">
      <c r="O59" s="1551"/>
      <c r="S59" s="1169"/>
      <c r="T59" s="2562"/>
      <c r="U59" s="2562"/>
      <c r="V59" s="2562"/>
      <c r="W59" s="2562"/>
      <c r="X59" s="2562"/>
      <c r="Y59" s="2562"/>
      <c r="Z59" s="2562"/>
      <c r="AA59" s="2562"/>
      <c r="AB59" s="2562"/>
      <c r="AC59" s="2562"/>
      <c r="AD59" s="2562"/>
      <c r="AE59" s="2562"/>
      <c r="AF59" s="2562"/>
      <c r="AG59" s="2562"/>
      <c r="AH59" s="2562"/>
      <c r="AI59" s="2562"/>
      <c r="AJ59" s="2562"/>
      <c r="AK59" s="2562"/>
      <c r="AL59" s="2562"/>
      <c r="AM59" s="2562"/>
      <c r="AS59" s="1547">
        <v>27</v>
      </c>
    </row>
    <row r="60" spans="1:45" ht="65.25" customHeight="1">
      <c r="O60" s="1551"/>
      <c r="T60" s="2562"/>
      <c r="U60" s="2562"/>
      <c r="V60" s="2562"/>
      <c r="W60" s="2562"/>
      <c r="X60" s="2562"/>
      <c r="Y60" s="2562"/>
      <c r="Z60" s="2562"/>
      <c r="AA60" s="2562"/>
      <c r="AB60" s="2562"/>
      <c r="AC60" s="2562"/>
      <c r="AD60" s="2562"/>
      <c r="AE60" s="2562"/>
      <c r="AF60" s="2562"/>
      <c r="AG60" s="2562"/>
      <c r="AH60" s="2562"/>
      <c r="AI60" s="2562"/>
      <c r="AJ60" s="2562"/>
      <c r="AK60" s="2562"/>
      <c r="AL60" s="2562"/>
      <c r="AM60" s="2562"/>
      <c r="AS60" s="1547">
        <v>62</v>
      </c>
    </row>
    <row r="61" spans="1:45" ht="14.65" customHeight="1">
      <c r="O61" s="1551"/>
      <c r="AS61" s="1547">
        <v>14</v>
      </c>
    </row>
    <row r="62" spans="1:45" ht="18.75" customHeight="1">
      <c r="O62" s="1551"/>
      <c r="S62" s="1169"/>
      <c r="T62" s="2562"/>
      <c r="U62" s="2562"/>
      <c r="V62" s="2562"/>
      <c r="W62" s="2562"/>
      <c r="X62" s="2562"/>
      <c r="Y62" s="2562"/>
      <c r="Z62" s="2562"/>
      <c r="AA62" s="2562"/>
      <c r="AB62" s="2562"/>
      <c r="AC62" s="2562"/>
      <c r="AD62" s="2562"/>
      <c r="AE62" s="2562"/>
      <c r="AF62" s="2562"/>
      <c r="AG62" s="2562"/>
      <c r="AH62" s="2562"/>
      <c r="AI62" s="2562"/>
      <c r="AJ62" s="2562"/>
      <c r="AK62" s="2562"/>
      <c r="AL62" s="2562"/>
      <c r="AM62" s="2562"/>
      <c r="AS62" s="1547">
        <v>18</v>
      </c>
    </row>
    <row r="63" spans="1:45" ht="18.75" customHeight="1">
      <c r="O63" s="1551"/>
      <c r="T63" s="2562"/>
      <c r="U63" s="2562"/>
      <c r="V63" s="2562"/>
      <c r="W63" s="2562"/>
      <c r="X63" s="2562"/>
      <c r="Y63" s="2562"/>
      <c r="Z63" s="2562"/>
      <c r="AA63" s="2562"/>
      <c r="AB63" s="2562"/>
      <c r="AC63" s="2562"/>
      <c r="AD63" s="2562"/>
      <c r="AE63" s="2562"/>
      <c r="AF63" s="2562"/>
      <c r="AG63" s="2562"/>
      <c r="AH63" s="2562"/>
      <c r="AI63" s="2562"/>
      <c r="AJ63" s="2562"/>
      <c r="AK63" s="2562"/>
      <c r="AL63" s="2562"/>
      <c r="AM63" s="2562"/>
      <c r="AS63" s="1547">
        <v>18</v>
      </c>
    </row>
    <row r="64" spans="1:45" ht="29.25" customHeight="1">
      <c r="O64" s="1551"/>
      <c r="S64" s="1169"/>
      <c r="T64" s="2562"/>
      <c r="U64" s="2562"/>
      <c r="V64" s="2562"/>
      <c r="W64" s="2562"/>
      <c r="X64" s="2562"/>
      <c r="Y64" s="2562"/>
      <c r="Z64" s="2562"/>
      <c r="AA64" s="2562"/>
      <c r="AB64" s="2562"/>
      <c r="AC64" s="2562"/>
      <c r="AD64" s="2562"/>
      <c r="AE64" s="2562"/>
      <c r="AF64" s="2562"/>
      <c r="AG64" s="2562"/>
      <c r="AH64" s="2562"/>
      <c r="AI64" s="2562"/>
      <c r="AJ64" s="2562"/>
      <c r="AK64" s="2562"/>
      <c r="AL64" s="2562"/>
      <c r="AM64" s="2562"/>
      <c r="AS64" s="1547">
        <v>28</v>
      </c>
    </row>
    <row r="65" spans="1:45" ht="22.5" hidden="1" customHeight="1">
      <c r="A65" s="1547" t="s">
        <v>82</v>
      </c>
      <c r="B65" s="1547">
        <v>0</v>
      </c>
      <c r="C65" s="1547">
        <v>0</v>
      </c>
      <c r="D65" s="1547">
        <v>0</v>
      </c>
      <c r="E65" s="1547">
        <v>0</v>
      </c>
      <c r="F65" s="1547">
        <v>0</v>
      </c>
      <c r="G65" s="1547">
        <v>0</v>
      </c>
      <c r="H65" s="1547">
        <v>0</v>
      </c>
      <c r="I65" s="1547">
        <v>0</v>
      </c>
      <c r="J65" s="1547">
        <v>0</v>
      </c>
      <c r="K65" s="1547">
        <v>0</v>
      </c>
      <c r="L65" s="1848">
        <v>0</v>
      </c>
      <c r="M65" s="1874">
        <v>0</v>
      </c>
      <c r="N65" s="1874">
        <v>0</v>
      </c>
      <c r="O65" s="1874">
        <v>0</v>
      </c>
      <c r="P65" s="1874">
        <v>3</v>
      </c>
      <c r="Q65" s="281">
        <v>3</v>
      </c>
      <c r="R65" s="281">
        <v>3</v>
      </c>
      <c r="S65" s="517">
        <v>12</v>
      </c>
      <c r="T65" s="1547">
        <v>31</v>
      </c>
      <c r="U65" s="1547">
        <v>0</v>
      </c>
      <c r="V65" s="1547">
        <v>0</v>
      </c>
      <c r="W65" s="1547">
        <v>0</v>
      </c>
      <c r="X65" s="1547">
        <v>0</v>
      </c>
      <c r="Y65" s="1547">
        <v>0</v>
      </c>
      <c r="Z65" s="1547">
        <v>0</v>
      </c>
      <c r="AA65" s="1547">
        <v>0</v>
      </c>
      <c r="AB65" s="1547">
        <v>0</v>
      </c>
      <c r="AC65" s="1547">
        <v>0</v>
      </c>
      <c r="AD65" s="1547">
        <v>24</v>
      </c>
      <c r="AE65" s="1547">
        <v>0</v>
      </c>
      <c r="AF65" s="1547">
        <v>24</v>
      </c>
      <c r="AG65" s="1547">
        <v>24</v>
      </c>
      <c r="AH65" s="1547">
        <v>11</v>
      </c>
      <c r="AI65" s="1547">
        <v>3</v>
      </c>
      <c r="AJ65" s="1547">
        <v>11</v>
      </c>
      <c r="AK65" s="1547">
        <v>0</v>
      </c>
      <c r="AL65" s="1547">
        <v>4</v>
      </c>
      <c r="AM65" s="1547">
        <v>115</v>
      </c>
      <c r="AN65" s="1552">
        <v>10</v>
      </c>
      <c r="AO65" s="1552">
        <v>10</v>
      </c>
      <c r="AP65" s="1552">
        <v>10</v>
      </c>
      <c r="AQ65" s="1552">
        <v>10</v>
      </c>
      <c r="AR65" s="1552">
        <v>10</v>
      </c>
      <c r="AS65" s="154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1" style="2360" customWidth="1"/>
    <col min="21" max="21" width="0.7109375" style="2360" hidden="1" customWidth="1"/>
    <col min="22" max="22" width="1.7109375" style="2360" hidden="1" customWidth="1"/>
    <col min="23" max="23" width="24.7109375" style="2360" hidden="1" customWidth="1"/>
    <col min="24" max="25" width="0.14062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0.140625" style="2360" customWidth="1"/>
    <col min="31" max="31" width="24" style="2360" customWidth="1"/>
    <col min="32" max="33" width="0.140625" style="2360" customWidth="1"/>
    <col min="34" max="34" width="11" style="2360" customWidth="1"/>
    <col min="35" max="35" width="3.7109375" style="2360" customWidth="1"/>
    <col min="36" max="36" width="11" style="2360" customWidth="1"/>
    <col min="37" max="37" width="8.5703125" style="2360" hidden="1" customWidth="1"/>
    <col min="38" max="38" width="4" style="2360" customWidth="1"/>
    <col min="39" max="39" width="115" style="2360" customWidth="1"/>
    <col min="40" max="44" width="10" style="2344" customWidth="1"/>
    <col min="45" max="45" width="10.5703125" style="2360" hidden="1"/>
  </cols>
  <sheetData>
    <row r="1" spans="1:45" ht="22.5" hidden="1" customHeight="1">
      <c r="Y1" s="264"/>
      <c r="Z1" s="264"/>
      <c r="AG1" s="264"/>
      <c r="AH1" s="264"/>
      <c r="AS1" s="1071" t="s">
        <v>14</v>
      </c>
    </row>
    <row r="2" spans="1:45" ht="21" hidden="1" customHeight="1">
      <c r="A2" s="1279"/>
      <c r="B2" s="1279"/>
      <c r="C2" s="1279"/>
      <c r="D2" s="1279"/>
      <c r="E2" s="2563">
        <v>1</v>
      </c>
      <c r="F2" s="1279"/>
      <c r="G2" s="1279"/>
      <c r="H2" s="1279"/>
      <c r="I2" s="1279"/>
      <c r="J2" s="1279"/>
      <c r="K2" s="1279"/>
      <c r="L2" s="1280"/>
      <c r="M2" s="1281"/>
      <c r="N2" s="1281"/>
      <c r="O2" s="1281"/>
      <c r="P2" s="297"/>
      <c r="Q2" s="296"/>
      <c r="R2" s="291"/>
      <c r="S2" s="1252" t="e">
        <f>INDEX(PT_DIFFERENTIATION_NUM_NTAR,MATCH(A2,PT_DIFFERENTIATION_NTAR_ID,0))</f>
        <v>#N/A</v>
      </c>
      <c r="T2" s="235" t="s">
        <v>124</v>
      </c>
      <c r="U2" s="237"/>
      <c r="V2" s="2557"/>
      <c r="W2" s="2558"/>
      <c r="X2" s="2558"/>
      <c r="Y2" s="2558"/>
      <c r="Z2" s="2558"/>
      <c r="AA2" s="2558"/>
      <c r="AB2" s="2558"/>
      <c r="AC2" s="2559"/>
      <c r="AD2" s="2557" t="e">
        <f>INDEX(PT_DIFFERENTIATION_NTAR,MATCH(A2,PT_DIFFERENTIATION_NTAR_ID,0))</f>
        <v>#N/A</v>
      </c>
      <c r="AE2" s="2558"/>
      <c r="AF2" s="2558"/>
      <c r="AG2" s="2558"/>
      <c r="AH2" s="2558"/>
      <c r="AI2" s="2558"/>
      <c r="AJ2" s="2558"/>
      <c r="AK2" s="2558"/>
      <c r="AL2" s="2559"/>
      <c r="AM2" s="1174" t="s">
        <v>395</v>
      </c>
      <c r="AO2" s="436"/>
      <c r="AP2" s="436" t="str">
        <f t="shared" ref="AP2:AP15" si="0">IF(T2="","",T2)</f>
        <v>Наименование тарифа</v>
      </c>
      <c r="AQ2" s="436"/>
      <c r="AR2" s="436"/>
      <c r="AS2" s="1071">
        <v>0</v>
      </c>
    </row>
    <row r="3" spans="1:45" ht="21" hidden="1" customHeight="1">
      <c r="A3" s="1279"/>
      <c r="B3" s="1279"/>
      <c r="C3" s="1279"/>
      <c r="D3" s="1279"/>
      <c r="E3" s="2564"/>
      <c r="F3" s="2563">
        <v>1</v>
      </c>
      <c r="G3" s="1279"/>
      <c r="H3" s="1279"/>
      <c r="I3" s="1279"/>
      <c r="J3" s="1279"/>
      <c r="K3" s="1279"/>
      <c r="L3" s="1280"/>
      <c r="M3" s="1281"/>
      <c r="N3" s="1281"/>
      <c r="O3" s="1281"/>
      <c r="P3" s="1248"/>
      <c r="Q3" s="288"/>
      <c r="R3" s="289"/>
      <c r="S3" s="1252" t="e">
        <f>INDEX(PT_DIFFERENTIATION_NUM_TER,MATCH(B3,PT_DIFFERENTIATION_TER_ID,0))</f>
        <v>#N/A</v>
      </c>
      <c r="T3" s="245" t="s">
        <v>396</v>
      </c>
      <c r="U3" s="237"/>
      <c r="V3" s="2557"/>
      <c r="W3" s="2558"/>
      <c r="X3" s="2558"/>
      <c r="Y3" s="2558"/>
      <c r="Z3" s="2558"/>
      <c r="AA3" s="2558"/>
      <c r="AB3" s="2558"/>
      <c r="AC3" s="2559"/>
      <c r="AD3" s="2557" t="e">
        <f>INDEX(PT_DIFFERENTIATION_TER,MATCH(B3,PT_DIFFERENTIATION_TER_ID,0))</f>
        <v>#N/A</v>
      </c>
      <c r="AE3" s="2558"/>
      <c r="AF3" s="2558"/>
      <c r="AG3" s="2558"/>
      <c r="AH3" s="2558"/>
      <c r="AI3" s="2558"/>
      <c r="AJ3" s="2558"/>
      <c r="AK3" s="2558"/>
      <c r="AL3" s="2559"/>
      <c r="AM3" s="1174" t="s">
        <v>397</v>
      </c>
      <c r="AO3" s="436"/>
      <c r="AP3" s="436" t="str">
        <f t="shared" si="0"/>
        <v>Территория действия тарифа</v>
      </c>
      <c r="AQ3" s="436"/>
      <c r="AR3" s="436"/>
      <c r="AS3" s="1071">
        <v>0</v>
      </c>
    </row>
    <row r="4" spans="1:45" ht="23.25" hidden="1" customHeight="1">
      <c r="A4" s="1279"/>
      <c r="B4" s="1279"/>
      <c r="C4" s="1279"/>
      <c r="D4" s="1279"/>
      <c r="E4" s="2564"/>
      <c r="F4" s="2564"/>
      <c r="G4" s="2563">
        <v>1</v>
      </c>
      <c r="H4" s="1279"/>
      <c r="I4" s="1279"/>
      <c r="J4" s="1279"/>
      <c r="K4" s="1279"/>
      <c r="L4" s="1280"/>
      <c r="M4" s="1281"/>
      <c r="N4" s="1281"/>
      <c r="O4" s="1281"/>
      <c r="P4" s="290"/>
      <c r="Q4" s="288"/>
      <c r="R4" s="289"/>
      <c r="S4" s="1252" t="e">
        <f>INDEX(PT_DIFFERENTIATION_NUM_CS,MATCH(C4,PT_DIFFERENTIATION_CS_ID,0))</f>
        <v>#N/A</v>
      </c>
      <c r="T4" s="246" t="s">
        <v>398</v>
      </c>
      <c r="U4" s="237"/>
      <c r="V4" s="2557"/>
      <c r="W4" s="2558"/>
      <c r="X4" s="2558"/>
      <c r="Y4" s="2558"/>
      <c r="Z4" s="2558"/>
      <c r="AA4" s="2558"/>
      <c r="AB4" s="2558"/>
      <c r="AC4" s="2559"/>
      <c r="AD4" s="2557" t="e">
        <f>INDEX(PT_DIFFERENTIATION_CS,MATCH(C4,PT_DIFFERENTIATION_CS_ID,0))</f>
        <v>#N/A</v>
      </c>
      <c r="AE4" s="2558"/>
      <c r="AF4" s="2558"/>
      <c r="AG4" s="2558"/>
      <c r="AH4" s="2558"/>
      <c r="AI4" s="2558"/>
      <c r="AJ4" s="2558"/>
      <c r="AK4" s="2558"/>
      <c r="AL4" s="2559"/>
      <c r="AM4" s="1174" t="s">
        <v>399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564"/>
      <c r="F5" s="2564"/>
      <c r="G5" s="2564"/>
      <c r="H5" s="2563">
        <v>1</v>
      </c>
      <c r="I5" s="1279"/>
      <c r="J5" s="1279"/>
      <c r="K5" s="1279"/>
      <c r="L5" s="1280"/>
      <c r="M5" s="1281"/>
      <c r="N5" s="1281"/>
      <c r="O5" s="1281"/>
      <c r="P5" s="290"/>
      <c r="Q5" s="288"/>
      <c r="R5" s="289"/>
      <c r="S5" s="1252" t="e">
        <f>INDEX(PT_DIFFERENTIATION_NUM_IST_TE,MATCH(D5,PT_DIFFERENTIATION_IST_TE_ID,0))</f>
        <v>#N/A</v>
      </c>
      <c r="T5" s="247" t="s">
        <v>400</v>
      </c>
      <c r="U5" s="237"/>
      <c r="V5" s="2557"/>
      <c r="W5" s="2558"/>
      <c r="X5" s="2558"/>
      <c r="Y5" s="2558"/>
      <c r="Z5" s="2558"/>
      <c r="AA5" s="2558"/>
      <c r="AB5" s="2558"/>
      <c r="AC5" s="2559"/>
      <c r="AD5" s="2557" t="e">
        <f>INDEX(PT_DIFFERENTIATION_IST_TE,MATCH(D5,PT_DIFFERENTIATION_IST_TE_ID,0))</f>
        <v>#N/A</v>
      </c>
      <c r="AE5" s="2558"/>
      <c r="AF5" s="2558"/>
      <c r="AG5" s="2558"/>
      <c r="AH5" s="2558"/>
      <c r="AI5" s="2558"/>
      <c r="AJ5" s="2558"/>
      <c r="AK5" s="2558"/>
      <c r="AL5" s="2559"/>
      <c r="AM5" s="1174" t="s">
        <v>401</v>
      </c>
      <c r="AO5" s="436"/>
      <c r="AP5" s="436" t="str">
        <f t="shared" si="0"/>
        <v xml:space="preserve">Источник тепловой энергии  </v>
      </c>
      <c r="AQ5" s="436"/>
      <c r="AR5" s="436"/>
      <c r="AS5" s="1071">
        <v>0</v>
      </c>
    </row>
    <row r="6" spans="1:45" ht="47.25" hidden="1" customHeight="1">
      <c r="A6" s="1279"/>
      <c r="B6" s="1279"/>
      <c r="C6" s="1279"/>
      <c r="D6" s="1279"/>
      <c r="E6" s="2564"/>
      <c r="F6" s="2564"/>
      <c r="G6" s="2564"/>
      <c r="H6" s="2564"/>
      <c r="I6" s="2565" t="e">
        <f>S5&amp;".1"</f>
        <v>#N/A</v>
      </c>
      <c r="J6" s="1279"/>
      <c r="K6" s="1279"/>
      <c r="L6" s="1280" t="s">
        <v>402</v>
      </c>
      <c r="M6" s="473"/>
      <c r="P6" s="2567">
        <v>1</v>
      </c>
      <c r="Q6" s="1247"/>
      <c r="R6" s="292"/>
      <c r="S6" s="1252" t="e">
        <f>$I6</f>
        <v>#N/A</v>
      </c>
      <c r="T6" s="222" t="s">
        <v>403</v>
      </c>
      <c r="U6" s="237"/>
      <c r="V6" s="2551"/>
      <c r="W6" s="2552"/>
      <c r="X6" s="2552"/>
      <c r="Y6" s="2552"/>
      <c r="Z6" s="2552"/>
      <c r="AA6" s="2552"/>
      <c r="AB6" s="2552"/>
      <c r="AC6" s="2553"/>
      <c r="AD6" s="2551"/>
      <c r="AE6" s="2552"/>
      <c r="AF6" s="2552"/>
      <c r="AG6" s="2552"/>
      <c r="AH6" s="2552"/>
      <c r="AI6" s="2552"/>
      <c r="AJ6" s="2552"/>
      <c r="AK6" s="2552"/>
      <c r="AL6" s="2553"/>
      <c r="AM6" s="1174" t="s">
        <v>404</v>
      </c>
      <c r="AO6" s="436"/>
      <c r="AP6" s="436" t="str">
        <f t="shared" si="0"/>
        <v>Схема подключения теплопотребляющей установки к коллектору источника тепловой энергии</v>
      </c>
      <c r="AQ6" s="436"/>
      <c r="AR6" s="436"/>
      <c r="AS6" s="1071">
        <v>0</v>
      </c>
    </row>
    <row r="7" spans="1:45" ht="21" hidden="1" customHeight="1">
      <c r="A7" s="1279"/>
      <c r="B7" s="1279"/>
      <c r="C7" s="1279"/>
      <c r="D7" s="1279"/>
      <c r="E7" s="2564"/>
      <c r="F7" s="2564"/>
      <c r="G7" s="2564"/>
      <c r="H7" s="2564"/>
      <c r="I7" s="2566"/>
      <c r="J7" s="2565" t="e">
        <f>I6&amp;".1"</f>
        <v>#N/A</v>
      </c>
      <c r="K7" s="1279"/>
      <c r="L7" s="1280" t="s">
        <v>405</v>
      </c>
      <c r="M7" s="473"/>
      <c r="N7" s="1282"/>
      <c r="P7" s="2567"/>
      <c r="Q7" s="2567">
        <v>1</v>
      </c>
      <c r="R7" s="293"/>
      <c r="S7" s="1252" t="e">
        <f>$J7</f>
        <v>#N/A</v>
      </c>
      <c r="T7" s="223" t="s">
        <v>406</v>
      </c>
      <c r="U7" s="237"/>
      <c r="V7" s="2551"/>
      <c r="W7" s="2552"/>
      <c r="X7" s="2552"/>
      <c r="Y7" s="2552"/>
      <c r="Z7" s="2552"/>
      <c r="AA7" s="2552"/>
      <c r="AB7" s="2552"/>
      <c r="AC7" s="2553"/>
      <c r="AD7" s="2551"/>
      <c r="AE7" s="2552"/>
      <c r="AF7" s="2552"/>
      <c r="AG7" s="2552"/>
      <c r="AH7" s="2552"/>
      <c r="AI7" s="2552"/>
      <c r="AJ7" s="2552"/>
      <c r="AK7" s="2552"/>
      <c r="AL7" s="2553"/>
      <c r="AM7" s="1174" t="s">
        <v>407</v>
      </c>
      <c r="AO7" s="436"/>
      <c r="AP7" s="436" t="str">
        <f t="shared" si="0"/>
        <v>Группа потребителей</v>
      </c>
      <c r="AQ7" s="436"/>
      <c r="AR7" s="436"/>
      <c r="AS7" s="1071">
        <v>0</v>
      </c>
    </row>
    <row r="8" spans="1:45" ht="21" hidden="1" customHeight="1">
      <c r="A8" s="1279"/>
      <c r="B8" s="1279"/>
      <c r="C8" s="1279"/>
      <c r="D8" s="1279"/>
      <c r="E8" s="2564"/>
      <c r="F8" s="2564"/>
      <c r="G8" s="2564"/>
      <c r="H8" s="2564"/>
      <c r="I8" s="2566"/>
      <c r="J8" s="2566"/>
      <c r="K8" s="2565" t="e">
        <f>J7&amp;".1"</f>
        <v>#N/A</v>
      </c>
      <c r="L8" s="1280" t="s">
        <v>408</v>
      </c>
      <c r="M8" s="473"/>
      <c r="N8" s="1282"/>
      <c r="O8" s="1282"/>
      <c r="P8" s="2567"/>
      <c r="Q8" s="2567"/>
      <c r="R8" s="293">
        <v>1</v>
      </c>
      <c r="S8" s="1252" t="e">
        <f>$K8</f>
        <v>#N/A</v>
      </c>
      <c r="T8" s="1263"/>
      <c r="U8" s="237"/>
      <c r="V8" s="262"/>
      <c r="W8" s="687"/>
      <c r="X8" s="262"/>
      <c r="Y8" s="320"/>
      <c r="Z8" s="2568"/>
      <c r="AA8" s="2445" t="s">
        <v>62</v>
      </c>
      <c r="AB8" s="2568"/>
      <c r="AC8" s="2445" t="s">
        <v>62</v>
      </c>
      <c r="AD8" s="262"/>
      <c r="AE8" s="687"/>
      <c r="AF8" s="262"/>
      <c r="AG8" s="320"/>
      <c r="AH8" s="2568"/>
      <c r="AI8" s="2445" t="s">
        <v>62</v>
      </c>
      <c r="AJ8" s="2568"/>
      <c r="AK8" s="2445" t="s">
        <v>62</v>
      </c>
      <c r="AL8" s="262"/>
      <c r="AM8" s="2586" t="s">
        <v>409</v>
      </c>
      <c r="AN8" s="447" t="e">
        <f ca="1">STRCHECKDATE(V9:AL9)</f>
        <v>#NAME?</v>
      </c>
      <c r="AO8" s="436"/>
      <c r="AP8" s="436" t="str">
        <f t="shared" si="0"/>
        <v/>
      </c>
      <c r="AQ8" s="436"/>
      <c r="AR8" s="436"/>
      <c r="AS8" s="1071">
        <v>0</v>
      </c>
    </row>
    <row r="9" spans="1:45" ht="0.75" hidden="1" customHeight="1">
      <c r="A9" s="1279"/>
      <c r="B9" s="1279"/>
      <c r="C9" s="1279"/>
      <c r="D9" s="1279"/>
      <c r="E9" s="2564"/>
      <c r="F9" s="2564"/>
      <c r="G9" s="2564"/>
      <c r="H9" s="2564"/>
      <c r="I9" s="2566"/>
      <c r="J9" s="2566"/>
      <c r="K9" s="2565"/>
      <c r="L9" s="1280"/>
      <c r="M9" s="473"/>
      <c r="N9" s="1282"/>
      <c r="O9" s="1282"/>
      <c r="P9" s="2567"/>
      <c r="Q9" s="2567"/>
      <c r="R9" s="293"/>
      <c r="S9" s="1258"/>
      <c r="T9" s="237"/>
      <c r="U9" s="237"/>
      <c r="V9" s="262"/>
      <c r="W9" s="262"/>
      <c r="X9" s="262"/>
      <c r="Y9" s="265" t="str">
        <f>Z8&amp;"-"&amp;AB8</f>
        <v>-</v>
      </c>
      <c r="Z9" s="2569"/>
      <c r="AA9" s="2445"/>
      <c r="AB9" s="2569"/>
      <c r="AC9" s="2445"/>
      <c r="AD9" s="262"/>
      <c r="AE9" s="262"/>
      <c r="AF9" s="262"/>
      <c r="AG9" s="265" t="str">
        <f>AH8&amp;"-"&amp;AJ8</f>
        <v>-</v>
      </c>
      <c r="AH9" s="2569"/>
      <c r="AI9" s="2445"/>
      <c r="AJ9" s="2569"/>
      <c r="AK9" s="2445"/>
      <c r="AL9" s="262"/>
      <c r="AM9" s="2587"/>
      <c r="AO9" s="436"/>
      <c r="AP9" s="436" t="str">
        <f t="shared" si="0"/>
        <v/>
      </c>
      <c r="AQ9" s="436"/>
      <c r="AR9" s="436"/>
      <c r="AS9" s="1071">
        <v>0</v>
      </c>
    </row>
    <row r="10" spans="1:45" ht="15" hidden="1" customHeight="1">
      <c r="A10" s="1279"/>
      <c r="B10" s="1279"/>
      <c r="C10" s="1279"/>
      <c r="D10" s="1279"/>
      <c r="E10" s="2564"/>
      <c r="F10" s="2564"/>
      <c r="G10" s="2564"/>
      <c r="H10" s="2564"/>
      <c r="I10" s="2566"/>
      <c r="J10" s="2565"/>
      <c r="K10" s="1279"/>
      <c r="L10" s="1280"/>
      <c r="M10" s="473"/>
      <c r="N10" s="1282"/>
      <c r="P10" s="2567"/>
      <c r="Q10" s="2567"/>
      <c r="R10" s="292"/>
      <c r="S10" s="1194"/>
      <c r="T10" s="225" t="s">
        <v>410</v>
      </c>
      <c r="U10" s="303"/>
      <c r="V10" s="303"/>
      <c r="W10" s="303"/>
      <c r="X10" s="303"/>
      <c r="Y10" s="303"/>
      <c r="Z10" s="303"/>
      <c r="AA10" s="303"/>
      <c r="AB10" s="303"/>
      <c r="AC10" s="303"/>
      <c r="AD10" s="303"/>
      <c r="AE10" s="303"/>
      <c r="AF10" s="303"/>
      <c r="AG10" s="303"/>
      <c r="AH10" s="303"/>
      <c r="AI10" s="303"/>
      <c r="AJ10" s="303"/>
      <c r="AK10" s="303"/>
      <c r="AL10" s="261"/>
      <c r="AM10" s="2588"/>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564"/>
      <c r="F11" s="2564"/>
      <c r="G11" s="2564"/>
      <c r="H11" s="2564"/>
      <c r="I11" s="2565"/>
      <c r="J11" s="1279"/>
      <c r="K11" s="1279"/>
      <c r="L11" s="1280"/>
      <c r="M11" s="473"/>
      <c r="P11" s="2567"/>
      <c r="Q11" s="1247"/>
      <c r="R11" s="292"/>
      <c r="S11" s="119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564"/>
      <c r="F12" s="2564"/>
      <c r="G12" s="2564"/>
      <c r="H12" s="2563"/>
      <c r="I12" s="1279"/>
      <c r="J12" s="1279"/>
      <c r="K12" s="1279"/>
      <c r="L12" s="1280"/>
      <c r="M12" s="1281"/>
      <c r="N12" s="1281"/>
      <c r="O12" s="473"/>
      <c r="P12" s="296"/>
      <c r="Q12" s="311"/>
      <c r="R12" s="291"/>
      <c r="S12" s="119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1">
        <v>0</v>
      </c>
    </row>
    <row r="13" spans="1:45" s="2344" customFormat="1" ht="0.75" hidden="1" customHeight="1">
      <c r="A13" s="1230"/>
      <c r="B13" s="1230"/>
      <c r="C13" s="1230"/>
      <c r="D13" s="1230"/>
      <c r="E13" s="2564"/>
      <c r="F13" s="2564"/>
      <c r="G13" s="2563"/>
      <c r="H13" s="1230"/>
      <c r="I13" s="1230"/>
      <c r="J13" s="1230"/>
      <c r="K13" s="1230"/>
      <c r="L13" s="1255"/>
      <c r="M13" s="1231"/>
      <c r="N13" s="1231"/>
      <c r="P13" s="1232"/>
      <c r="Q13" s="1233"/>
      <c r="R13" s="1232"/>
      <c r="S13" s="1234"/>
      <c r="T13" s="1235" t="s">
        <v>413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344" customFormat="1" ht="0.75" hidden="1" customHeight="1">
      <c r="A14" s="1230"/>
      <c r="B14" s="1230"/>
      <c r="C14" s="1230"/>
      <c r="D14" s="1230"/>
      <c r="E14" s="2564"/>
      <c r="F14" s="2563"/>
      <c r="G14" s="1230"/>
      <c r="H14" s="1230"/>
      <c r="I14" s="1230"/>
      <c r="J14" s="1230"/>
      <c r="K14" s="1230"/>
      <c r="L14" s="1255"/>
      <c r="M14" s="1237"/>
      <c r="N14" s="1237"/>
      <c r="P14" s="1232"/>
      <c r="Q14" s="1233"/>
      <c r="R14" s="1232"/>
      <c r="S14" s="1238"/>
      <c r="T14" s="1239" t="s">
        <v>414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344" customFormat="1" ht="0.75" hidden="1" customHeight="1">
      <c r="A15" s="1230"/>
      <c r="B15" s="1230"/>
      <c r="C15" s="1230"/>
      <c r="D15" s="1230"/>
      <c r="E15" s="2563"/>
      <c r="F15" s="1230"/>
      <c r="G15" s="1230"/>
      <c r="H15" s="1230"/>
      <c r="I15" s="1230"/>
      <c r="J15" s="1230"/>
      <c r="K15" s="1230"/>
      <c r="L15" s="1255"/>
      <c r="M15" s="1237"/>
      <c r="N15" s="1237"/>
      <c r="P15" s="1232"/>
      <c r="Q15" s="1233"/>
      <c r="R15" s="1232"/>
      <c r="S15" s="1238"/>
      <c r="T15" s="1241" t="s">
        <v>415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61"/>
      <c r="AI17" s="2560" t="s">
        <v>62</v>
      </c>
      <c r="AJ17" s="2561"/>
      <c r="AK17" s="2560" t="s">
        <v>62</v>
      </c>
      <c r="AS17" s="1071">
        <v>0</v>
      </c>
    </row>
    <row r="18" spans="1:45" ht="14.25" hidden="1" customHeight="1">
      <c r="AD18" s="1276"/>
      <c r="AE18" s="1276"/>
      <c r="AF18" s="1276"/>
      <c r="AG18" s="265" t="str">
        <f>AH17&amp;"-"&amp;AJ17</f>
        <v>-</v>
      </c>
      <c r="AH18" s="2560"/>
      <c r="AI18" s="2560"/>
      <c r="AJ18" s="2560"/>
      <c r="AK18" s="2560"/>
      <c r="AS18" s="1071">
        <v>0</v>
      </c>
    </row>
    <row r="19" spans="1:45" ht="14.25" hidden="1" customHeight="1">
      <c r="AK19" s="264"/>
      <c r="AS19" s="1071">
        <v>0</v>
      </c>
    </row>
    <row r="20" spans="1:45" s="2357" customFormat="1" ht="22.5" hidden="1" customHeight="1">
      <c r="L20" s="1245"/>
      <c r="M20" s="1278"/>
      <c r="N20" s="1278"/>
      <c r="O20" s="1283" t="s">
        <v>416</v>
      </c>
      <c r="P20" s="1278"/>
      <c r="Q20" s="1287"/>
      <c r="R20" s="1287"/>
      <c r="S20" s="665"/>
      <c r="Z20" s="1283"/>
      <c r="AB20" s="1283"/>
      <c r="AC20" s="1282"/>
      <c r="AH20" s="1283"/>
      <c r="AJ20" s="1283"/>
      <c r="AK20" s="1282"/>
      <c r="AN20" s="447"/>
      <c r="AO20" s="447"/>
      <c r="AP20" s="447"/>
      <c r="AQ20" s="447"/>
      <c r="AR20" s="447"/>
      <c r="AS20" s="1076">
        <v>0</v>
      </c>
    </row>
    <row r="21" spans="1:45" s="235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57" customFormat="1" ht="33.75" hidden="1" customHeight="1">
      <c r="L22" s="1245"/>
      <c r="M22" s="1278"/>
      <c r="N22" s="1278"/>
      <c r="O22" s="1280" t="s">
        <v>417</v>
      </c>
      <c r="P22" s="1278"/>
      <c r="Q22" s="1287"/>
      <c r="R22" s="1287"/>
      <c r="S22" s="665"/>
      <c r="T22" s="1076" t="s">
        <v>418</v>
      </c>
      <c r="AA22" s="123" t="s">
        <v>419</v>
      </c>
      <c r="AC22" s="123" t="s">
        <v>420</v>
      </c>
      <c r="AD22" s="1076" t="s">
        <v>418</v>
      </c>
      <c r="AI22" s="123" t="s">
        <v>421</v>
      </c>
      <c r="AK22" s="123" t="s">
        <v>420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29.25" customHeight="1">
      <c r="Q26" s="312"/>
      <c r="R26" s="312"/>
      <c r="S26" s="25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4"/>
      <c r="U26" s="2544"/>
      <c r="V26" s="2544"/>
      <c r="W26" s="2544"/>
      <c r="X26" s="2544"/>
      <c r="Y26" s="2544"/>
      <c r="Z26" s="2544"/>
      <c r="AA26" s="2544"/>
      <c r="AB26" s="2544"/>
      <c r="AC26" s="2544"/>
      <c r="AD26" s="2544"/>
      <c r="AE26" s="2544"/>
      <c r="AF26" s="2544"/>
      <c r="AG26" s="2544"/>
      <c r="AH26" s="2544"/>
      <c r="AI26" s="2544"/>
      <c r="AJ26" s="2544"/>
      <c r="AK26" s="1159"/>
      <c r="AS26" s="1071">
        <v>28</v>
      </c>
    </row>
    <row r="27" spans="1:45" ht="14.65" customHeight="1">
      <c r="Q27" s="312"/>
      <c r="R27" s="312"/>
      <c r="S27" s="2516" t="str">
        <f>IF(org=0,"Не определено",org)</f>
        <v>ООО "Пятигорсктеплосервис"</v>
      </c>
      <c r="T27" s="2516"/>
      <c r="U27" s="2516"/>
      <c r="V27" s="2516"/>
      <c r="W27" s="2516"/>
      <c r="X27" s="2516"/>
      <c r="Y27" s="2516"/>
      <c r="Z27" s="2516"/>
      <c r="AA27" s="2516"/>
      <c r="AB27" s="2516"/>
      <c r="AC27" s="2516"/>
      <c r="AD27" s="2516"/>
      <c r="AE27" s="2516"/>
      <c r="AF27" s="2516"/>
      <c r="AG27" s="2516"/>
      <c r="AH27" s="2516"/>
      <c r="AI27" s="2516"/>
      <c r="AJ27" s="2516"/>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380" customFormat="1" ht="25.5" hidden="1" customHeight="1">
      <c r="A29" s="1284"/>
      <c r="B29" s="1284"/>
      <c r="C29" s="1284"/>
      <c r="D29" s="1284"/>
      <c r="E29" s="1284"/>
      <c r="F29" s="1284"/>
      <c r="G29" s="1284"/>
      <c r="H29" s="1284"/>
      <c r="I29" s="1284"/>
      <c r="J29" s="1284"/>
      <c r="K29" s="1284"/>
      <c r="L29" s="1285"/>
      <c r="M29" s="1284"/>
      <c r="N29" s="1284"/>
      <c r="O29" s="1284"/>
      <c r="S29" s="2554" t="s">
        <v>41</v>
      </c>
      <c r="T29" s="2554"/>
      <c r="U29" s="1288"/>
      <c r="V29" s="2556" t="str">
        <f>IF(TITLE_NAME_OR_PR_CHANGE="",IF(TITLE_NAME_OR_PR="","",TITLE_NAME_OR_PR),TITLE_NAME_OR_PR_CHANGE)</f>
        <v/>
      </c>
      <c r="W29" s="2556"/>
      <c r="X29" s="2556"/>
      <c r="Y29" s="2556"/>
      <c r="Z29" s="2556"/>
      <c r="AA29" s="2556"/>
      <c r="AB29" s="2556"/>
      <c r="AC29" s="263"/>
      <c r="AD29" s="2556" t="str">
        <f>IF(TITLE_NAME_OR_PR_CHANGE="",IF(TITLE_NAME_OR_PR="","",TITLE_NAME_OR_PR),TITLE_NAME_OR_PR_CHANGE)</f>
        <v/>
      </c>
      <c r="AE29" s="2556"/>
      <c r="AF29" s="2556"/>
      <c r="AG29" s="2556"/>
      <c r="AH29" s="2556"/>
      <c r="AI29" s="2556"/>
      <c r="AJ29" s="2556"/>
      <c r="AK29" s="263"/>
      <c r="AL29" s="263"/>
      <c r="AM29" s="217"/>
      <c r="AN29" s="304"/>
      <c r="AO29" s="304"/>
      <c r="AP29" s="304"/>
      <c r="AQ29" s="304"/>
      <c r="AR29" s="304"/>
      <c r="AS29" s="354">
        <v>0</v>
      </c>
    </row>
    <row r="30" spans="1:45" s="2380" customFormat="1" ht="18.75" hidden="1" customHeight="1">
      <c r="A30" s="1284"/>
      <c r="B30" s="1284"/>
      <c r="C30" s="1284"/>
      <c r="D30" s="1284"/>
      <c r="E30" s="1284"/>
      <c r="F30" s="1284"/>
      <c r="G30" s="1284"/>
      <c r="H30" s="1284"/>
      <c r="I30" s="1284"/>
      <c r="J30" s="1284"/>
      <c r="K30" s="1284"/>
      <c r="L30" s="1285"/>
      <c r="M30" s="1284"/>
      <c r="N30" s="1284"/>
      <c r="O30" s="1284"/>
      <c r="S30" s="2554" t="s">
        <v>422</v>
      </c>
      <c r="T30" s="2554"/>
      <c r="U30" s="1288"/>
      <c r="V30" s="2555" t="str">
        <f>IF(TITLE_DATE_PR_CHANGE="",IF(TITLE_DATE_PR="","",TITLE_DATE_PR),TITLE_DATE_PR_CHANGE)</f>
        <v/>
      </c>
      <c r="W30" s="2555"/>
      <c r="X30" s="2555"/>
      <c r="Y30" s="2555"/>
      <c r="Z30" s="2555"/>
      <c r="AA30" s="2555"/>
      <c r="AB30" s="2555"/>
      <c r="AC30" s="263"/>
      <c r="AD30" s="2555" t="str">
        <f>IF(TITLE_DATE_PR_CHANGE="",IF(TITLE_DATE_PR="","",TITLE_DATE_PR),TITLE_DATE_PR_CHANGE)</f>
        <v/>
      </c>
      <c r="AE30" s="2555"/>
      <c r="AF30" s="2555"/>
      <c r="AG30" s="2555"/>
      <c r="AH30" s="2555"/>
      <c r="AI30" s="2555"/>
      <c r="AJ30" s="2555"/>
      <c r="AK30" s="263"/>
      <c r="AL30" s="263"/>
      <c r="AM30" s="217"/>
      <c r="AN30" s="304"/>
      <c r="AO30" s="304"/>
      <c r="AP30" s="304"/>
      <c r="AQ30" s="304"/>
      <c r="AR30" s="304"/>
      <c r="AS30" s="354">
        <v>0</v>
      </c>
    </row>
    <row r="31" spans="1:45" s="2380" customFormat="1" ht="18.75" hidden="1" customHeight="1">
      <c r="A31" s="1284"/>
      <c r="B31" s="1284"/>
      <c r="C31" s="1284"/>
      <c r="D31" s="1284"/>
      <c r="E31" s="1284"/>
      <c r="F31" s="1284"/>
      <c r="G31" s="1284"/>
      <c r="H31" s="1284"/>
      <c r="I31" s="1284"/>
      <c r="J31" s="1284"/>
      <c r="K31" s="1284"/>
      <c r="L31" s="1285"/>
      <c r="M31" s="1284"/>
      <c r="N31" s="1284"/>
      <c r="O31" s="1284"/>
      <c r="S31" s="2554" t="s">
        <v>423</v>
      </c>
      <c r="T31" s="2554"/>
      <c r="U31" s="1288"/>
      <c r="V31" s="2556" t="str">
        <f>IF(TITLE_NUMBER_PR_CHANGE="",IF(TITLE_NUMBER_PR="","",TITLE_NUMBER_PR),TITLE_NUMBER_PR_CHANGE)</f>
        <v/>
      </c>
      <c r="W31" s="2556"/>
      <c r="X31" s="2556"/>
      <c r="Y31" s="2556"/>
      <c r="Z31" s="2556"/>
      <c r="AA31" s="2556"/>
      <c r="AB31" s="2556"/>
      <c r="AC31" s="263"/>
      <c r="AD31" s="2556" t="str">
        <f>IF(TITLE_NUMBER_PR_CHANGE="",IF(TITLE_NUMBER_PR="","",TITLE_NUMBER_PR),TITLE_NUMBER_PR_CHANGE)</f>
        <v/>
      </c>
      <c r="AE31" s="2556"/>
      <c r="AF31" s="2556"/>
      <c r="AG31" s="2556"/>
      <c r="AH31" s="2556"/>
      <c r="AI31" s="2556"/>
      <c r="AJ31" s="2556"/>
      <c r="AK31" s="263"/>
      <c r="AL31" s="263"/>
      <c r="AM31" s="217"/>
      <c r="AN31" s="304"/>
      <c r="AO31" s="304"/>
      <c r="AP31" s="304"/>
      <c r="AQ31" s="304"/>
      <c r="AR31" s="304"/>
      <c r="AS31" s="354">
        <v>0</v>
      </c>
    </row>
    <row r="32" spans="1:45" s="2380" customFormat="1" ht="18.75" hidden="1" customHeight="1">
      <c r="A32" s="1284"/>
      <c r="B32" s="1284"/>
      <c r="C32" s="1284"/>
      <c r="D32" s="1284"/>
      <c r="E32" s="1284"/>
      <c r="F32" s="1284"/>
      <c r="G32" s="1284"/>
      <c r="H32" s="1284"/>
      <c r="I32" s="1284"/>
      <c r="J32" s="1284"/>
      <c r="K32" s="1284"/>
      <c r="L32" s="1285"/>
      <c r="M32" s="1284"/>
      <c r="N32" s="1284"/>
      <c r="O32" s="1284"/>
      <c r="S32" s="2554" t="s">
        <v>42</v>
      </c>
      <c r="T32" s="2554"/>
      <c r="U32" s="1288"/>
      <c r="V32" s="2556" t="str">
        <f>IF(TITLE_IST_PUB_CHANGE="",IF(TITLE_IST_PUB="","",TITLE_IST_PUB),TITLE_IST_PUB_CHANGE)</f>
        <v/>
      </c>
      <c r="W32" s="2556"/>
      <c r="X32" s="2556"/>
      <c r="Y32" s="2556"/>
      <c r="Z32" s="2556"/>
      <c r="AA32" s="2556"/>
      <c r="AB32" s="2556"/>
      <c r="AC32" s="263"/>
      <c r="AD32" s="2556" t="str">
        <f>IF(TITLE_IST_PUB_CHANGE="",IF(TITLE_IST_PUB="","",TITLE_IST_PUB),TITLE_IST_PUB_CHANGE)</f>
        <v/>
      </c>
      <c r="AE32" s="2556"/>
      <c r="AF32" s="2556"/>
      <c r="AG32" s="2556"/>
      <c r="AH32" s="2556"/>
      <c r="AI32" s="2556"/>
      <c r="AJ32" s="2556"/>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380" customFormat="1" ht="18.75" hidden="1" customHeight="1">
      <c r="A34" s="1284"/>
      <c r="B34" s="1284"/>
      <c r="C34" s="1284"/>
      <c r="D34" s="1284"/>
      <c r="E34" s="1284"/>
      <c r="F34" s="1284"/>
      <c r="G34" s="1284"/>
      <c r="H34" s="1284"/>
      <c r="I34" s="1284"/>
      <c r="J34" s="1284"/>
      <c r="K34" s="1284"/>
      <c r="L34" s="1285"/>
      <c r="M34" s="1284"/>
      <c r="N34" s="1284"/>
      <c r="O34" s="1284"/>
      <c r="S34" s="2554" t="s">
        <v>424</v>
      </c>
      <c r="T34" s="2554"/>
      <c r="U34" s="1288"/>
      <c r="V34" s="2555" t="str">
        <f>IF(TITLE_DATE_PR_CHANGE="",IF(TITLE_DATE_PR="","",TITLE_DATE_PR),TITLE_DATE_PR_CHANGE)</f>
        <v/>
      </c>
      <c r="W34" s="2555"/>
      <c r="X34" s="2555"/>
      <c r="Y34" s="2555"/>
      <c r="Z34" s="2555"/>
      <c r="AA34" s="2555"/>
      <c r="AB34" s="2555"/>
      <c r="AC34" s="263"/>
      <c r="AD34" s="2555" t="str">
        <f>IF(TITLE_DATE_PR_CHANGE="",IF(TITLE_DATE_PR="","",TITLE_DATE_PR),TITLE_DATE_PR_CHANGE)</f>
        <v/>
      </c>
      <c r="AE34" s="2555"/>
      <c r="AF34" s="2555"/>
      <c r="AG34" s="2555"/>
      <c r="AH34" s="2555"/>
      <c r="AI34" s="2555"/>
      <c r="AJ34" s="2555"/>
      <c r="AK34" s="263"/>
      <c r="AL34" s="263"/>
      <c r="AM34" s="217"/>
      <c r="AN34" s="304"/>
      <c r="AO34" s="304"/>
      <c r="AP34" s="304"/>
      <c r="AQ34" s="304"/>
      <c r="AR34" s="304"/>
      <c r="AS34" s="354">
        <v>0</v>
      </c>
    </row>
    <row r="35" spans="1:45" s="2380" customFormat="1" ht="18.75" hidden="1" customHeight="1">
      <c r="A35" s="1284"/>
      <c r="B35" s="1284"/>
      <c r="C35" s="1284"/>
      <c r="D35" s="1284"/>
      <c r="E35" s="1284"/>
      <c r="F35" s="1284"/>
      <c r="G35" s="1284"/>
      <c r="H35" s="1284"/>
      <c r="I35" s="1284"/>
      <c r="J35" s="1284"/>
      <c r="K35" s="1284"/>
      <c r="L35" s="1285"/>
      <c r="M35" s="1284"/>
      <c r="N35" s="1284"/>
      <c r="O35" s="1284"/>
      <c r="S35" s="2554" t="s">
        <v>425</v>
      </c>
      <c r="T35" s="2554"/>
      <c r="U35" s="1288"/>
      <c r="V35" s="2556" t="str">
        <f>IF(TITLE_NUMBER_PR_CHANGE="",IF(TITLE_NUMBER_PR="","",TITLE_NUMBER_PR),TITLE_NUMBER_PR_CHANGE)</f>
        <v/>
      </c>
      <c r="W35" s="2556"/>
      <c r="X35" s="2556"/>
      <c r="Y35" s="2556"/>
      <c r="Z35" s="2556"/>
      <c r="AA35" s="2556"/>
      <c r="AB35" s="2556"/>
      <c r="AC35" s="263"/>
      <c r="AD35" s="2556" t="str">
        <f>IF(TITLE_NUMBER_PR_CHANGE="",IF(TITLE_NUMBER_PR="","",TITLE_NUMBER_PR),TITLE_NUMBER_PR_CHANGE)</f>
        <v/>
      </c>
      <c r="AE35" s="2556"/>
      <c r="AF35" s="2556"/>
      <c r="AG35" s="2556"/>
      <c r="AH35" s="2556"/>
      <c r="AI35" s="2556"/>
      <c r="AJ35" s="2556"/>
      <c r="AK35" s="263"/>
      <c r="AL35" s="263"/>
      <c r="AM35" s="217"/>
      <c r="AN35" s="304"/>
      <c r="AO35" s="304"/>
      <c r="AP35" s="304"/>
      <c r="AQ35" s="304"/>
      <c r="AR35" s="304"/>
      <c r="AS35" s="354">
        <v>0</v>
      </c>
    </row>
    <row r="36" spans="1:45" s="238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1"/>
      <c r="T37" s="299"/>
      <c r="U37" s="1160"/>
      <c r="V37" s="2575"/>
      <c r="W37" s="2575"/>
      <c r="X37" s="2575"/>
      <c r="Y37" s="2575"/>
      <c r="Z37" s="2575"/>
      <c r="AA37" s="2575"/>
      <c r="AB37" s="2575"/>
      <c r="AC37" s="2575"/>
      <c r="AD37" s="2575"/>
      <c r="AE37" s="2575"/>
      <c r="AF37" s="2575"/>
      <c r="AG37" s="2575"/>
      <c r="AH37" s="2575"/>
      <c r="AI37" s="2575"/>
      <c r="AJ37" s="2575"/>
      <c r="AK37" s="2575"/>
      <c r="AS37" s="1071">
        <v>14</v>
      </c>
    </row>
    <row r="38" spans="1:45" ht="14.65" customHeight="1">
      <c r="Q38" s="312"/>
      <c r="R38" s="312"/>
      <c r="S38" s="2435" t="s">
        <v>299</v>
      </c>
      <c r="T38" s="2435"/>
      <c r="U38" s="2435"/>
      <c r="V38" s="2435"/>
      <c r="W38" s="2435"/>
      <c r="X38" s="2435"/>
      <c r="Y38" s="2435"/>
      <c r="Z38" s="2435"/>
      <c r="AA38" s="2435"/>
      <c r="AB38" s="2435"/>
      <c r="AC38" s="2435"/>
      <c r="AD38" s="2435"/>
      <c r="AE38" s="2435"/>
      <c r="AF38" s="2435"/>
      <c r="AG38" s="2435"/>
      <c r="AH38" s="2435"/>
      <c r="AI38" s="2435"/>
      <c r="AJ38" s="2435"/>
      <c r="AK38" s="2435"/>
      <c r="AL38" s="2435"/>
      <c r="AM38" s="2435" t="s">
        <v>300</v>
      </c>
      <c r="AS38" s="1071">
        <v>14</v>
      </c>
    </row>
    <row r="39" spans="1:45" ht="14.65" customHeight="1">
      <c r="Q39" s="312"/>
      <c r="R39" s="312"/>
      <c r="S39" s="2576" t="s">
        <v>88</v>
      </c>
      <c r="T39" s="2524" t="s">
        <v>427</v>
      </c>
      <c r="U39" s="238"/>
      <c r="V39" s="2577" t="s">
        <v>428</v>
      </c>
      <c r="W39" s="2578"/>
      <c r="X39" s="2593"/>
      <c r="Y39" s="2593"/>
      <c r="Z39" s="2578"/>
      <c r="AA39" s="2578"/>
      <c r="AB39" s="2579"/>
      <c r="AC39" s="2580" t="s">
        <v>429</v>
      </c>
      <c r="AD39" s="2577" t="s">
        <v>428</v>
      </c>
      <c r="AE39" s="2578"/>
      <c r="AF39" s="2593"/>
      <c r="AG39" s="2593"/>
      <c r="AH39" s="2578"/>
      <c r="AI39" s="2578"/>
      <c r="AJ39" s="2579"/>
      <c r="AK39" s="2580" t="s">
        <v>430</v>
      </c>
      <c r="AL39" s="2583" t="s">
        <v>431</v>
      </c>
      <c r="AM39" s="2435"/>
      <c r="AS39" s="1071">
        <v>14</v>
      </c>
    </row>
    <row r="40" spans="1:45" ht="24" customHeight="1">
      <c r="Q40" s="312"/>
      <c r="R40" s="312"/>
      <c r="S40" s="2576"/>
      <c r="T40" s="2524"/>
      <c r="U40" s="953"/>
      <c r="V40" s="2591" t="s">
        <v>432</v>
      </c>
      <c r="W40" s="2495" t="s">
        <v>433</v>
      </c>
      <c r="X40" s="1292" t="s">
        <v>434</v>
      </c>
      <c r="Y40" s="1292"/>
      <c r="Z40" s="2422" t="s">
        <v>435</v>
      </c>
      <c r="AA40" s="2422"/>
      <c r="AB40" s="2416"/>
      <c r="AC40" s="2581"/>
      <c r="AD40" s="2591" t="s">
        <v>432</v>
      </c>
      <c r="AE40" s="2495" t="s">
        <v>433</v>
      </c>
      <c r="AF40" s="1292" t="s">
        <v>434</v>
      </c>
      <c r="AG40" s="1292"/>
      <c r="AH40" s="2422" t="s">
        <v>435</v>
      </c>
      <c r="AI40" s="2422"/>
      <c r="AJ40" s="2416"/>
      <c r="AK40" s="2581"/>
      <c r="AL40" s="2584"/>
      <c r="AM40" s="2435"/>
      <c r="AS40" s="1071">
        <v>23</v>
      </c>
    </row>
    <row r="41" spans="1:45" s="2365" customFormat="1" ht="24" customHeight="1">
      <c r="A41" s="1286"/>
      <c r="B41" s="1286" t="s">
        <v>136</v>
      </c>
      <c r="C41" s="1286" t="s">
        <v>137</v>
      </c>
      <c r="D41" s="1286" t="s">
        <v>138</v>
      </c>
      <c r="E41" s="1280" t="s">
        <v>436</v>
      </c>
      <c r="F41" s="1280" t="s">
        <v>437</v>
      </c>
      <c r="G41" s="1280" t="s">
        <v>438</v>
      </c>
      <c r="H41" s="1280" t="s">
        <v>439</v>
      </c>
      <c r="I41" s="1280" t="s">
        <v>440</v>
      </c>
      <c r="J41" s="1280" t="s">
        <v>441</v>
      </c>
      <c r="K41" s="1280" t="s">
        <v>442</v>
      </c>
      <c r="L41" s="1280" t="s">
        <v>417</v>
      </c>
      <c r="M41" s="1278"/>
      <c r="N41" s="1278"/>
      <c r="O41" s="1278"/>
      <c r="P41" s="1244"/>
      <c r="Q41" s="312"/>
      <c r="R41" s="312"/>
      <c r="S41" s="2576"/>
      <c r="T41" s="2524"/>
      <c r="U41" s="239"/>
      <c r="V41" s="2592"/>
      <c r="W41" s="2500"/>
      <c r="X41" s="1289" t="s">
        <v>443</v>
      </c>
      <c r="Y41" s="1289" t="s">
        <v>444</v>
      </c>
      <c r="Z41" s="1250" t="s">
        <v>445</v>
      </c>
      <c r="AA41" s="2529" t="s">
        <v>446</v>
      </c>
      <c r="AB41" s="2543"/>
      <c r="AC41" s="2582"/>
      <c r="AD41" s="2592"/>
      <c r="AE41" s="2500"/>
      <c r="AF41" s="1289" t="s">
        <v>443</v>
      </c>
      <c r="AG41" s="1289" t="s">
        <v>444</v>
      </c>
      <c r="AH41" s="1250" t="s">
        <v>445</v>
      </c>
      <c r="AI41" s="2529" t="s">
        <v>446</v>
      </c>
      <c r="AJ41" s="2543"/>
      <c r="AK41" s="2582"/>
      <c r="AL41" s="2585"/>
      <c r="AM41" s="2435"/>
      <c r="AN41" s="447"/>
      <c r="AO41" s="436"/>
      <c r="AP41" s="436"/>
      <c r="AQ41" s="436"/>
      <c r="AR41" s="436"/>
      <c r="AS41" s="518">
        <v>23</v>
      </c>
    </row>
    <row r="42" spans="1:45" s="233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109</v>
      </c>
      <c r="T42" s="1171" t="s">
        <v>110</v>
      </c>
      <c r="U42" s="1161" t="str">
        <f ca="1">OFFSET(U42,0,-1)</f>
        <v>2</v>
      </c>
      <c r="V42" s="1251">
        <f ca="1">OFFSET(V42,0,-1)+1</f>
        <v>3</v>
      </c>
      <c r="W42" s="1251"/>
      <c r="X42" s="1257">
        <f ca="1">OFFSET(X42,0,-1)+1</f>
        <v>1</v>
      </c>
      <c r="Y42" s="1257">
        <f ca="1">OFFSET(Y42,0,-1)+1</f>
        <v>2</v>
      </c>
      <c r="Z42" s="1251">
        <f ca="1">OFFSET(Z42,0,-1)+1</f>
        <v>3</v>
      </c>
      <c r="AA42" s="2574">
        <f ca="1">OFFSET(AA42,0,-1)+1</f>
        <v>4</v>
      </c>
      <c r="AB42" s="2574"/>
      <c r="AC42" s="1251">
        <f ca="1">OFFSET(AC42,0,-2)+1</f>
        <v>5</v>
      </c>
      <c r="AD42" s="1251">
        <f ca="1">OFFSET(AD42,0,-1)+1</f>
        <v>6</v>
      </c>
      <c r="AE42" s="1251"/>
      <c r="AF42" s="1257">
        <f ca="1">OFFSET(AF42,0,-1)+1</f>
        <v>1</v>
      </c>
      <c r="AG42" s="1257">
        <f ca="1">OFFSET(AG42,0,-1)+1</f>
        <v>2</v>
      </c>
      <c r="AH42" s="1251">
        <f ca="1">OFFSET(AH42,0,-1)+1</f>
        <v>3</v>
      </c>
      <c r="AI42" s="2574">
        <f ca="1">OFFSET(AI42,0,-1)+1</f>
        <v>4</v>
      </c>
      <c r="AJ42" s="2574"/>
      <c r="AK42" s="1251">
        <f ca="1">OFFSET(AK42,0,-2)+1</f>
        <v>5</v>
      </c>
      <c r="AL42" s="1161">
        <f ca="1">OFFSET(AL42,0,-1)</f>
        <v>5</v>
      </c>
      <c r="AM42" s="1251">
        <f ca="1">OFFSET(AM42,0,-1)+1</f>
        <v>6</v>
      </c>
      <c r="AN42" s="447"/>
      <c r="AO42" s="447"/>
      <c r="AP42" s="447"/>
      <c r="AQ42" s="447"/>
      <c r="AR42" s="447"/>
      <c r="AS42" s="432">
        <v>0</v>
      </c>
    </row>
    <row r="43" spans="1:45" ht="21.95" customHeight="1">
      <c r="A43" s="1279" t="s">
        <v>193</v>
      </c>
      <c r="B43" s="1279"/>
      <c r="C43" s="1279"/>
      <c r="D43" s="1279"/>
      <c r="E43" s="2563">
        <v>1</v>
      </c>
      <c r="F43" s="1279"/>
      <c r="G43" s="1279"/>
      <c r="H43" s="1279"/>
      <c r="I43" s="1279"/>
      <c r="J43" s="1279"/>
      <c r="K43" s="1279"/>
      <c r="L43" s="1280"/>
      <c r="M43" s="1281"/>
      <c r="N43" s="1281"/>
      <c r="O43" s="1281"/>
      <c r="P43" s="297"/>
      <c r="Q43" s="296"/>
      <c r="R43" s="291"/>
      <c r="S43" s="1252">
        <f>INDEX(PT_DIFFERENTIATION_NUM_NTAR,MATCH(A43,PT_DIFFERENTIATION_NTAR_ID,0))</f>
        <v>0</v>
      </c>
      <c r="T43" s="235" t="s">
        <v>124</v>
      </c>
      <c r="U43" s="237"/>
      <c r="V43" s="2557"/>
      <c r="W43" s="2558"/>
      <c r="X43" s="2558"/>
      <c r="Y43" s="2558"/>
      <c r="Z43" s="2558"/>
      <c r="AA43" s="2558"/>
      <c r="AB43" s="2558"/>
      <c r="AC43" s="2559"/>
      <c r="AD43" s="2557" t="str">
        <f>INDEX(PT_DIFFERENTIATION_NTAR,MATCH(A43,PT_DIFFERENTIATION_NTAR_ID,0))</f>
        <v/>
      </c>
      <c r="AE43" s="2558"/>
      <c r="AF43" s="2558"/>
      <c r="AG43" s="2558"/>
      <c r="AH43" s="2558"/>
      <c r="AI43" s="2558"/>
      <c r="AJ43" s="2558"/>
      <c r="AK43" s="2558"/>
      <c r="AL43" s="2559"/>
      <c r="AM43" s="117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193</v>
      </c>
      <c r="B44" s="1279" t="s">
        <v>194</v>
      </c>
      <c r="C44" s="1279"/>
      <c r="D44" s="1279"/>
      <c r="E44" s="2564"/>
      <c r="F44" s="2563">
        <v>1</v>
      </c>
      <c r="G44" s="1279"/>
      <c r="H44" s="1279"/>
      <c r="I44" s="1279"/>
      <c r="J44" s="1279"/>
      <c r="K44" s="1279"/>
      <c r="L44" s="1280"/>
      <c r="M44" s="1281"/>
      <c r="N44" s="1281"/>
      <c r="O44" s="1281"/>
      <c r="P44" s="1248"/>
      <c r="Q44" s="288"/>
      <c r="R44" s="289"/>
      <c r="S44" s="1252" t="str">
        <f>INDEX(PT_DIFFERENTIATION_NUM_TER,MATCH(B44,PT_DIFFERENTIATION_TER_ID,0))</f>
        <v>.</v>
      </c>
      <c r="T44" s="245" t="s">
        <v>396</v>
      </c>
      <c r="U44" s="237"/>
      <c r="V44" s="2557"/>
      <c r="W44" s="2558"/>
      <c r="X44" s="2558"/>
      <c r="Y44" s="2558"/>
      <c r="Z44" s="2558"/>
      <c r="AA44" s="2558"/>
      <c r="AB44" s="2558"/>
      <c r="AC44" s="2559"/>
      <c r="AD44" s="2557" t="str">
        <f>INDEX(PT_DIFFERENTIATION_TER,MATCH(B44,PT_DIFFERENTIATION_TER_ID,0))</f>
        <v/>
      </c>
      <c r="AE44" s="2558"/>
      <c r="AF44" s="2558"/>
      <c r="AG44" s="2558"/>
      <c r="AH44" s="2558"/>
      <c r="AI44" s="2558"/>
      <c r="AJ44" s="2558"/>
      <c r="AK44" s="2558"/>
      <c r="AL44" s="2559"/>
      <c r="AM44" s="1174" t="s">
        <v>397</v>
      </c>
      <c r="AO44" s="436"/>
      <c r="AP44" s="436" t="str">
        <f t="shared" si="1"/>
        <v>Территория действия тарифа</v>
      </c>
      <c r="AQ44" s="436"/>
      <c r="AR44" s="436"/>
      <c r="AS44" s="1071">
        <v>21</v>
      </c>
    </row>
    <row r="45" spans="1:45" ht="24" customHeight="1">
      <c r="A45" s="1279" t="s">
        <v>193</v>
      </c>
      <c r="B45" s="1279" t="s">
        <v>194</v>
      </c>
      <c r="C45" s="1279" t="s">
        <v>195</v>
      </c>
      <c r="D45" s="1279"/>
      <c r="E45" s="2564"/>
      <c r="F45" s="2564"/>
      <c r="G45" s="2563">
        <v>1</v>
      </c>
      <c r="H45" s="1279"/>
      <c r="I45" s="1279"/>
      <c r="J45" s="1279"/>
      <c r="K45" s="1279"/>
      <c r="L45" s="1280"/>
      <c r="M45" s="1281"/>
      <c r="N45" s="1281"/>
      <c r="O45" s="1281"/>
      <c r="P45" s="290"/>
      <c r="Q45" s="288"/>
      <c r="R45" s="289"/>
      <c r="S45" s="1252" t="str">
        <f>INDEX(PT_DIFFERENTIATION_NUM_CS,MATCH(C45,PT_DIFFERENTIATION_CS_ID,0))</f>
        <v>..</v>
      </c>
      <c r="T45" s="246" t="s">
        <v>398</v>
      </c>
      <c r="U45" s="237"/>
      <c r="V45" s="2557"/>
      <c r="W45" s="2558"/>
      <c r="X45" s="2558"/>
      <c r="Y45" s="2558"/>
      <c r="Z45" s="2558"/>
      <c r="AA45" s="2558"/>
      <c r="AB45" s="2558"/>
      <c r="AC45" s="2559"/>
      <c r="AD45" s="2557" t="str">
        <f>INDEX(PT_DIFFERENTIATION_CS,MATCH(C45,PT_DIFFERENTIATION_CS_ID,0))</f>
        <v/>
      </c>
      <c r="AE45" s="2558"/>
      <c r="AF45" s="2558"/>
      <c r="AG45" s="2558"/>
      <c r="AH45" s="2558"/>
      <c r="AI45" s="2558"/>
      <c r="AJ45" s="2558"/>
      <c r="AK45" s="2558"/>
      <c r="AL45" s="2559"/>
      <c r="AM45" s="1174" t="s">
        <v>399</v>
      </c>
      <c r="AO45" s="436"/>
      <c r="AP45" s="436" t="str">
        <f t="shared" si="1"/>
        <v xml:space="preserve">Наименование системы теплоснабжения </v>
      </c>
      <c r="AQ45" s="436"/>
      <c r="AR45" s="436"/>
      <c r="AS45" s="1071">
        <v>23</v>
      </c>
    </row>
    <row r="46" spans="1:45" ht="21.95" customHeight="1">
      <c r="A46" s="1279" t="s">
        <v>193</v>
      </c>
      <c r="B46" s="1279" t="s">
        <v>194</v>
      </c>
      <c r="C46" s="1279" t="s">
        <v>195</v>
      </c>
      <c r="D46" s="1279" t="s">
        <v>196</v>
      </c>
      <c r="E46" s="2564"/>
      <c r="F46" s="2564"/>
      <c r="G46" s="2564"/>
      <c r="H46" s="2563">
        <v>1</v>
      </c>
      <c r="I46" s="1279"/>
      <c r="J46" s="1279"/>
      <c r="K46" s="1279"/>
      <c r="L46" s="1280"/>
      <c r="M46" s="1281"/>
      <c r="N46" s="1281"/>
      <c r="O46" s="1281"/>
      <c r="P46" s="290"/>
      <c r="Q46" s="288"/>
      <c r="R46" s="289"/>
      <c r="S46" s="1252" t="str">
        <f>INDEX(PT_DIFFERENTIATION_NUM_IST_TE,MATCH(D46,PT_DIFFERENTIATION_IST_TE_ID,0))</f>
        <v>...</v>
      </c>
      <c r="T46" s="247" t="s">
        <v>400</v>
      </c>
      <c r="U46" s="237"/>
      <c r="V46" s="2557"/>
      <c r="W46" s="2558"/>
      <c r="X46" s="2558"/>
      <c r="Y46" s="2558"/>
      <c r="Z46" s="2558"/>
      <c r="AA46" s="2558"/>
      <c r="AB46" s="2558"/>
      <c r="AC46" s="2559"/>
      <c r="AD46" s="2557" t="str">
        <f>INDEX(PT_DIFFERENTIATION_IST_TE,MATCH(D46,PT_DIFFERENTIATION_IST_TE_ID,0))</f>
        <v/>
      </c>
      <c r="AE46" s="2558"/>
      <c r="AF46" s="2558"/>
      <c r="AG46" s="2558"/>
      <c r="AH46" s="2558"/>
      <c r="AI46" s="2558"/>
      <c r="AJ46" s="2558"/>
      <c r="AK46" s="2558"/>
      <c r="AL46" s="2559"/>
      <c r="AM46" s="1174" t="s">
        <v>401</v>
      </c>
      <c r="AO46" s="436"/>
      <c r="AP46" s="436" t="str">
        <f t="shared" si="1"/>
        <v xml:space="preserve">Источник тепловой энергии  </v>
      </c>
      <c r="AQ46" s="436"/>
      <c r="AR46" s="436"/>
      <c r="AS46" s="1071">
        <v>21</v>
      </c>
    </row>
    <row r="47" spans="1:45" ht="49.5" customHeight="1">
      <c r="A47" s="1279" t="s">
        <v>193</v>
      </c>
      <c r="B47" s="1279" t="s">
        <v>194</v>
      </c>
      <c r="C47" s="1279" t="s">
        <v>195</v>
      </c>
      <c r="D47" s="1279" t="s">
        <v>196</v>
      </c>
      <c r="E47" s="2564"/>
      <c r="F47" s="2564"/>
      <c r="G47" s="2564"/>
      <c r="H47" s="2564"/>
      <c r="I47" s="2565" t="str">
        <f>S46&amp;".1"</f>
        <v>....1</v>
      </c>
      <c r="J47" s="1279"/>
      <c r="K47" s="1279"/>
      <c r="L47" s="1280" t="s">
        <v>402</v>
      </c>
      <c r="P47" s="2567">
        <v>1</v>
      </c>
      <c r="Q47" s="1247"/>
      <c r="R47" s="292"/>
      <c r="S47" s="1252" t="str">
        <f>$I47</f>
        <v>....1</v>
      </c>
      <c r="T47" s="222" t="s">
        <v>403</v>
      </c>
      <c r="U47" s="237"/>
      <c r="V47" s="2551"/>
      <c r="W47" s="2552"/>
      <c r="X47" s="2552"/>
      <c r="Y47" s="2552"/>
      <c r="Z47" s="2552"/>
      <c r="AA47" s="2552"/>
      <c r="AB47" s="2552"/>
      <c r="AC47" s="2553"/>
      <c r="AD47" s="2551"/>
      <c r="AE47" s="2552"/>
      <c r="AF47" s="2552"/>
      <c r="AG47" s="2552"/>
      <c r="AH47" s="2552"/>
      <c r="AI47" s="2552"/>
      <c r="AJ47" s="2552"/>
      <c r="AK47" s="2552"/>
      <c r="AL47" s="2553"/>
      <c r="AM47" s="1174" t="s">
        <v>404</v>
      </c>
      <c r="AO47" s="436"/>
      <c r="AP47" s="436" t="str">
        <f t="shared" si="1"/>
        <v>Схема подключения теплопотребляющей установки к коллектору источника тепловой энергии</v>
      </c>
      <c r="AQ47" s="436"/>
      <c r="AR47" s="436"/>
      <c r="AS47" s="1071">
        <v>47</v>
      </c>
    </row>
    <row r="48" spans="1:45" ht="21.95" customHeight="1">
      <c r="A48" s="1279" t="s">
        <v>193</v>
      </c>
      <c r="B48" s="1279" t="s">
        <v>194</v>
      </c>
      <c r="C48" s="1279" t="s">
        <v>195</v>
      </c>
      <c r="D48" s="1279" t="s">
        <v>196</v>
      </c>
      <c r="E48" s="2564"/>
      <c r="F48" s="2564"/>
      <c r="G48" s="2564"/>
      <c r="H48" s="2564"/>
      <c r="I48" s="2566"/>
      <c r="J48" s="2565" t="str">
        <f>I47&amp;".1"</f>
        <v>....1.1</v>
      </c>
      <c r="K48" s="1279"/>
      <c r="L48" s="1280" t="s">
        <v>405</v>
      </c>
      <c r="P48" s="2567"/>
      <c r="Q48" s="2567">
        <v>1</v>
      </c>
      <c r="R48" s="293"/>
      <c r="S48" s="1252" t="str">
        <f>$J48</f>
        <v>....1.1</v>
      </c>
      <c r="T48" s="223" t="s">
        <v>406</v>
      </c>
      <c r="U48" s="237"/>
      <c r="V48" s="2551"/>
      <c r="W48" s="2552"/>
      <c r="X48" s="2552"/>
      <c r="Y48" s="2552"/>
      <c r="Z48" s="2552"/>
      <c r="AA48" s="2552"/>
      <c r="AB48" s="2552"/>
      <c r="AC48" s="2553"/>
      <c r="AD48" s="2551"/>
      <c r="AE48" s="2552"/>
      <c r="AF48" s="2552"/>
      <c r="AG48" s="2552"/>
      <c r="AH48" s="2552"/>
      <c r="AI48" s="2552"/>
      <c r="AJ48" s="2552"/>
      <c r="AK48" s="2552"/>
      <c r="AL48" s="2553"/>
      <c r="AM48" s="1174" t="s">
        <v>407</v>
      </c>
      <c r="AO48" s="436"/>
      <c r="AP48" s="436" t="str">
        <f t="shared" si="1"/>
        <v>Группа потребителей</v>
      </c>
      <c r="AQ48" s="436"/>
      <c r="AR48" s="436"/>
      <c r="AS48" s="1071">
        <v>21</v>
      </c>
    </row>
    <row r="49" spans="1:45" ht="21.95" customHeight="1">
      <c r="A49" s="1279" t="s">
        <v>193</v>
      </c>
      <c r="B49" s="1279" t="s">
        <v>194</v>
      </c>
      <c r="C49" s="1279" t="s">
        <v>195</v>
      </c>
      <c r="D49" s="1279" t="s">
        <v>196</v>
      </c>
      <c r="E49" s="2564"/>
      <c r="F49" s="2564"/>
      <c r="G49" s="2564"/>
      <c r="H49" s="2564"/>
      <c r="I49" s="2566"/>
      <c r="J49" s="2566"/>
      <c r="K49" s="2565" t="str">
        <f>J48&amp;".1"</f>
        <v>....1.1.1</v>
      </c>
      <c r="L49" s="1280" t="s">
        <v>408</v>
      </c>
      <c r="P49" s="2567"/>
      <c r="Q49" s="2567"/>
      <c r="R49" s="293">
        <v>1</v>
      </c>
      <c r="S49" s="1252" t="str">
        <f>$K49</f>
        <v>....1.1.1</v>
      </c>
      <c r="T49" s="1263"/>
      <c r="U49" s="237"/>
      <c r="V49" s="262"/>
      <c r="W49" s="687"/>
      <c r="X49" s="262"/>
      <c r="Y49" s="320"/>
      <c r="Z49" s="2568"/>
      <c r="AA49" s="2445" t="s">
        <v>62</v>
      </c>
      <c r="AB49" s="2568"/>
      <c r="AC49" s="2445" t="s">
        <v>62</v>
      </c>
      <c r="AD49" s="262"/>
      <c r="AE49" s="687"/>
      <c r="AF49" s="262"/>
      <c r="AG49" s="320"/>
      <c r="AH49" s="2568"/>
      <c r="AI49" s="2445" t="s">
        <v>62</v>
      </c>
      <c r="AJ49" s="2570"/>
      <c r="AK49" s="2445" t="s">
        <v>62</v>
      </c>
      <c r="AL49" s="1264"/>
      <c r="AM49" s="2586" t="s">
        <v>409</v>
      </c>
      <c r="AN49" s="447" t="e">
        <f ca="1">STRCHECKDATE(V50:AL50)</f>
        <v>#NAME?</v>
      </c>
      <c r="AO49" s="436"/>
      <c r="AP49" s="436" t="str">
        <f t="shared" si="1"/>
        <v/>
      </c>
      <c r="AQ49" s="436"/>
      <c r="AR49" s="436"/>
      <c r="AS49" s="1071">
        <v>21</v>
      </c>
    </row>
    <row r="50" spans="1:45" ht="1.1499999999999999" customHeight="1">
      <c r="A50" s="1279" t="s">
        <v>193</v>
      </c>
      <c r="B50" s="1279" t="s">
        <v>194</v>
      </c>
      <c r="C50" s="1279" t="s">
        <v>195</v>
      </c>
      <c r="D50" s="1279" t="s">
        <v>196</v>
      </c>
      <c r="E50" s="2564"/>
      <c r="F50" s="2564"/>
      <c r="G50" s="2564"/>
      <c r="H50" s="2564"/>
      <c r="I50" s="2566"/>
      <c r="J50" s="2566"/>
      <c r="K50" s="2565"/>
      <c r="L50" s="1280"/>
      <c r="P50" s="2567"/>
      <c r="Q50" s="2567"/>
      <c r="R50" s="293"/>
      <c r="S50" s="1258"/>
      <c r="T50" s="237"/>
      <c r="U50" s="237"/>
      <c r="V50" s="262"/>
      <c r="W50" s="262"/>
      <c r="X50" s="262"/>
      <c r="Y50" s="265" t="str">
        <f>Z49&amp;"-"&amp;AB49</f>
        <v>-</v>
      </c>
      <c r="Z50" s="2569"/>
      <c r="AA50" s="2445"/>
      <c r="AB50" s="2569"/>
      <c r="AC50" s="2445"/>
      <c r="AD50" s="262"/>
      <c r="AE50" s="262"/>
      <c r="AF50" s="262"/>
      <c r="AG50" s="265" t="str">
        <f>AH49&amp;"-"&amp;AJ49</f>
        <v>-</v>
      </c>
      <c r="AH50" s="2569"/>
      <c r="AI50" s="2445"/>
      <c r="AJ50" s="2571"/>
      <c r="AK50" s="2445"/>
      <c r="AL50" s="1265"/>
      <c r="AM50" s="2587"/>
      <c r="AO50" s="436"/>
      <c r="AP50" s="436" t="str">
        <f t="shared" si="1"/>
        <v/>
      </c>
      <c r="AQ50" s="436"/>
      <c r="AR50" s="436"/>
      <c r="AS50" s="1071">
        <v>1</v>
      </c>
    </row>
    <row r="51" spans="1:45" ht="11.45" customHeight="1">
      <c r="A51" s="1279" t="s">
        <v>193</v>
      </c>
      <c r="B51" s="1279" t="s">
        <v>194</v>
      </c>
      <c r="C51" s="1279" t="s">
        <v>195</v>
      </c>
      <c r="D51" s="1279" t="s">
        <v>196</v>
      </c>
      <c r="E51" s="2564"/>
      <c r="F51" s="2564"/>
      <c r="G51" s="2564"/>
      <c r="H51" s="2564"/>
      <c r="I51" s="2566"/>
      <c r="J51" s="2565"/>
      <c r="K51" s="1279"/>
      <c r="L51" s="1280"/>
      <c r="P51" s="2567"/>
      <c r="Q51" s="2567"/>
      <c r="R51" s="292"/>
      <c r="S51" s="1194"/>
      <c r="T51" s="225" t="s">
        <v>410</v>
      </c>
      <c r="U51" s="303"/>
      <c r="V51" s="303"/>
      <c r="W51" s="303"/>
      <c r="X51" s="303"/>
      <c r="Y51" s="303"/>
      <c r="Z51" s="303"/>
      <c r="AA51" s="303"/>
      <c r="AB51" s="303"/>
      <c r="AC51" s="303"/>
      <c r="AD51" s="303"/>
      <c r="AE51" s="303"/>
      <c r="AF51" s="303"/>
      <c r="AG51" s="303"/>
      <c r="AH51" s="303"/>
      <c r="AI51" s="303"/>
      <c r="AJ51" s="303"/>
      <c r="AK51" s="303"/>
      <c r="AL51" s="261"/>
      <c r="AM51" s="2588"/>
      <c r="AO51" s="436"/>
      <c r="AP51" s="436" t="str">
        <f t="shared" si="1"/>
        <v>Добавить вид теплоносителя (параметры теплоносителя)</v>
      </c>
      <c r="AQ51" s="436"/>
      <c r="AR51" s="436"/>
      <c r="AS51" s="1071">
        <v>11</v>
      </c>
    </row>
    <row r="52" spans="1:45" ht="11.45" customHeight="1">
      <c r="A52" s="1279" t="s">
        <v>193</v>
      </c>
      <c r="B52" s="1279" t="s">
        <v>194</v>
      </c>
      <c r="C52" s="1279" t="s">
        <v>195</v>
      </c>
      <c r="D52" s="1279" t="s">
        <v>196</v>
      </c>
      <c r="E52" s="2564"/>
      <c r="F52" s="2564"/>
      <c r="G52" s="2564"/>
      <c r="H52" s="2564"/>
      <c r="I52" s="2565"/>
      <c r="J52" s="1279"/>
      <c r="K52" s="1279"/>
      <c r="L52" s="1280"/>
      <c r="P52" s="2567"/>
      <c r="Q52" s="1247"/>
      <c r="R52" s="292"/>
      <c r="S52" s="119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14.65" customHeight="1">
      <c r="A53" s="1279" t="s">
        <v>193</v>
      </c>
      <c r="B53" s="1279" t="s">
        <v>194</v>
      </c>
      <c r="C53" s="1279" t="s">
        <v>195</v>
      </c>
      <c r="D53" s="1279" t="s">
        <v>196</v>
      </c>
      <c r="E53" s="2564"/>
      <c r="F53" s="2564"/>
      <c r="G53" s="2564"/>
      <c r="H53" s="2563"/>
      <c r="I53" s="1279"/>
      <c r="J53" s="1279"/>
      <c r="K53" s="1279"/>
      <c r="L53" s="1280"/>
      <c r="M53" s="1281"/>
      <c r="N53" s="1281"/>
      <c r="O53" s="473"/>
      <c r="P53" s="296"/>
      <c r="Q53" s="311"/>
      <c r="R53" s="291"/>
      <c r="S53" s="119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1">
        <v>14</v>
      </c>
    </row>
    <row r="54" spans="1:45" s="2344" customFormat="1" ht="1.1499999999999999" customHeight="1">
      <c r="A54" s="1259" t="s">
        <v>193</v>
      </c>
      <c r="B54" s="1259" t="s">
        <v>194</v>
      </c>
      <c r="C54" s="1259" t="s">
        <v>195</v>
      </c>
      <c r="D54" s="1230"/>
      <c r="E54" s="2564"/>
      <c r="F54" s="2564"/>
      <c r="G54" s="2563"/>
      <c r="H54" s="1230"/>
      <c r="I54" s="1230"/>
      <c r="J54" s="1230"/>
      <c r="K54" s="1230"/>
      <c r="L54" s="1255"/>
      <c r="M54" s="1231"/>
      <c r="N54" s="1231"/>
      <c r="P54" s="1232"/>
      <c r="Q54" s="1233"/>
      <c r="R54" s="1232"/>
      <c r="S54" s="1238"/>
      <c r="T54" s="1241" t="s">
        <v>413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344" customFormat="1" ht="1.1499999999999999" customHeight="1">
      <c r="A55" s="1259" t="s">
        <v>193</v>
      </c>
      <c r="B55" s="1259" t="s">
        <v>194</v>
      </c>
      <c r="C55" s="1230"/>
      <c r="D55" s="1230"/>
      <c r="E55" s="2564"/>
      <c r="F55" s="2563"/>
      <c r="G55" s="1230"/>
      <c r="H55" s="1230"/>
      <c r="I55" s="1230"/>
      <c r="J55" s="1230"/>
      <c r="K55" s="1230"/>
      <c r="L55" s="1255"/>
      <c r="M55" s="1237"/>
      <c r="N55" s="1237"/>
      <c r="P55" s="1232"/>
      <c r="Q55" s="1233"/>
      <c r="R55" s="1232"/>
      <c r="S55" s="1238"/>
      <c r="T55" s="1241" t="s">
        <v>414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344" customFormat="1" ht="1.1499999999999999" customHeight="1">
      <c r="A56" s="1259" t="s">
        <v>193</v>
      </c>
      <c r="B56" s="1259"/>
      <c r="C56" s="1259"/>
      <c r="D56" s="1259"/>
      <c r="E56" s="2563"/>
      <c r="F56" s="1259"/>
      <c r="G56" s="1259"/>
      <c r="H56" s="1259"/>
      <c r="I56" s="1259"/>
      <c r="J56" s="1259"/>
      <c r="K56" s="1259"/>
      <c r="L56" s="1262"/>
      <c r="M56" s="1237"/>
      <c r="N56" s="1237"/>
      <c r="O56" s="454"/>
      <c r="P56" s="316"/>
      <c r="Q56" s="1260"/>
      <c r="R56" s="316"/>
      <c r="S56" s="1238"/>
      <c r="T56" s="1241" t="s">
        <v>415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344"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8.5" customHeight="1">
      <c r="O59" s="473"/>
      <c r="S59" s="1169"/>
      <c r="T59" s="2562"/>
      <c r="U59" s="2562"/>
      <c r="V59" s="2562"/>
      <c r="W59" s="2562"/>
      <c r="X59" s="2562"/>
      <c r="Y59" s="2562"/>
      <c r="Z59" s="2562"/>
      <c r="AA59" s="2562"/>
      <c r="AB59" s="2562"/>
      <c r="AC59" s="2562"/>
      <c r="AD59" s="2562"/>
      <c r="AE59" s="2562"/>
      <c r="AF59" s="2562"/>
      <c r="AG59" s="2562"/>
      <c r="AH59" s="2562"/>
      <c r="AI59" s="2562"/>
      <c r="AJ59" s="2562"/>
      <c r="AK59" s="2562"/>
      <c r="AL59" s="2562"/>
      <c r="AM59" s="2562"/>
      <c r="AS59" s="1071">
        <v>27</v>
      </c>
    </row>
    <row r="60" spans="1:45" ht="78.75" customHeight="1">
      <c r="O60" s="473"/>
      <c r="T60" s="2562"/>
      <c r="U60" s="2562"/>
      <c r="V60" s="2562"/>
      <c r="W60" s="2562"/>
      <c r="X60" s="2562"/>
      <c r="Y60" s="2562"/>
      <c r="Z60" s="2562"/>
      <c r="AA60" s="2562"/>
      <c r="AB60" s="2562"/>
      <c r="AC60" s="2562"/>
      <c r="AD60" s="2562"/>
      <c r="AE60" s="2562"/>
      <c r="AF60" s="2562"/>
      <c r="AG60" s="2562"/>
      <c r="AH60" s="2562"/>
      <c r="AI60" s="2562"/>
      <c r="AJ60" s="2562"/>
      <c r="AK60" s="2562"/>
      <c r="AL60" s="2562"/>
      <c r="AM60" s="2562"/>
      <c r="AS60" s="1071">
        <v>75</v>
      </c>
    </row>
    <row r="61" spans="1:45" ht="14.65" customHeight="1">
      <c r="O61" s="473"/>
      <c r="AS61" s="1071">
        <v>14</v>
      </c>
    </row>
    <row r="62" spans="1:45" ht="18.75" customHeight="1">
      <c r="O62" s="473"/>
      <c r="S62" s="1169"/>
      <c r="T62" s="2562"/>
      <c r="U62" s="2562"/>
      <c r="V62" s="2562"/>
      <c r="W62" s="2562"/>
      <c r="X62" s="2562"/>
      <c r="Y62" s="2562"/>
      <c r="Z62" s="2562"/>
      <c r="AA62" s="2562"/>
      <c r="AB62" s="2562"/>
      <c r="AC62" s="2562"/>
      <c r="AD62" s="2562"/>
      <c r="AE62" s="2562"/>
      <c r="AF62" s="2562"/>
      <c r="AG62" s="2562"/>
      <c r="AH62" s="2562"/>
      <c r="AI62" s="2562"/>
      <c r="AJ62" s="2562"/>
      <c r="AK62" s="2562"/>
      <c r="AL62" s="2562"/>
      <c r="AM62" s="2562"/>
      <c r="AS62" s="1071">
        <v>18</v>
      </c>
    </row>
    <row r="63" spans="1:45" ht="18.75" customHeight="1">
      <c r="O63" s="473"/>
      <c r="T63" s="2562"/>
      <c r="U63" s="2562"/>
      <c r="V63" s="2562"/>
      <c r="W63" s="2562"/>
      <c r="X63" s="2562"/>
      <c r="Y63" s="2562"/>
      <c r="Z63" s="2562"/>
      <c r="AA63" s="2562"/>
      <c r="AB63" s="2562"/>
      <c r="AC63" s="2562"/>
      <c r="AD63" s="2562"/>
      <c r="AE63" s="2562"/>
      <c r="AF63" s="2562"/>
      <c r="AG63" s="2562"/>
      <c r="AH63" s="2562"/>
      <c r="AI63" s="2562"/>
      <c r="AJ63" s="2562"/>
      <c r="AK63" s="2562"/>
      <c r="AL63" s="2562"/>
      <c r="AM63" s="2562"/>
      <c r="AS63" s="1071">
        <v>18</v>
      </c>
    </row>
    <row r="64" spans="1:45" ht="39.75" customHeight="1">
      <c r="O64" s="473"/>
      <c r="S64" s="1169"/>
      <c r="T64" s="2562"/>
      <c r="U64" s="2562"/>
      <c r="V64" s="2562"/>
      <c r="W64" s="2562"/>
      <c r="X64" s="2562"/>
      <c r="Y64" s="2562"/>
      <c r="Z64" s="2562"/>
      <c r="AA64" s="2562"/>
      <c r="AB64" s="2562"/>
      <c r="AC64" s="2562"/>
      <c r="AD64" s="2562"/>
      <c r="AE64" s="2562"/>
      <c r="AF64" s="2562"/>
      <c r="AG64" s="2562"/>
      <c r="AH64" s="2562"/>
      <c r="AI64" s="2562"/>
      <c r="AJ64" s="2562"/>
      <c r="AK64" s="2562"/>
      <c r="AL64" s="2562"/>
      <c r="AM64" s="2562"/>
      <c r="AS64" s="1071">
        <v>38</v>
      </c>
    </row>
    <row r="65" spans="1:45" ht="22.5" hidden="1" customHeight="1">
      <c r="A65" s="1076" t="s">
        <v>82</v>
      </c>
      <c r="B65" s="1076">
        <v>0</v>
      </c>
      <c r="C65" s="1076">
        <v>0</v>
      </c>
      <c r="D65" s="1076">
        <v>0</v>
      </c>
      <c r="E65" s="1076">
        <v>0</v>
      </c>
      <c r="F65" s="1076">
        <v>0</v>
      </c>
      <c r="G65" s="1076">
        <v>0</v>
      </c>
      <c r="H65" s="1076">
        <v>0</v>
      </c>
      <c r="I65" s="1076">
        <v>0</v>
      </c>
      <c r="J65" s="1076">
        <v>0</v>
      </c>
      <c r="K65" s="1076">
        <v>0</v>
      </c>
      <c r="L65" s="1245">
        <v>0</v>
      </c>
      <c r="M65" s="1278">
        <v>0</v>
      </c>
      <c r="N65" s="1278">
        <v>0</v>
      </c>
      <c r="O65" s="1278">
        <v>0</v>
      </c>
      <c r="P65" s="1244">
        <v>3</v>
      </c>
      <c r="Q65" s="281">
        <v>3</v>
      </c>
      <c r="R65" s="281">
        <v>3</v>
      </c>
      <c r="S65" s="517">
        <v>12</v>
      </c>
      <c r="T65" s="1071">
        <v>31</v>
      </c>
      <c r="U65" s="1071">
        <v>0</v>
      </c>
      <c r="V65" s="1071">
        <v>0</v>
      </c>
      <c r="W65" s="1071">
        <v>0</v>
      </c>
      <c r="X65" s="1071">
        <v>0</v>
      </c>
      <c r="Y65" s="1071">
        <v>0</v>
      </c>
      <c r="Z65" s="1071">
        <v>0</v>
      </c>
      <c r="AA65" s="1071">
        <v>0</v>
      </c>
      <c r="AB65" s="1071">
        <v>0</v>
      </c>
      <c r="AC65" s="1071">
        <v>0</v>
      </c>
      <c r="AD65" s="1071">
        <v>0</v>
      </c>
      <c r="AE65" s="1071">
        <v>24</v>
      </c>
      <c r="AF65" s="1071">
        <v>0</v>
      </c>
      <c r="AG65" s="1071">
        <v>0</v>
      </c>
      <c r="AH65" s="1071">
        <v>11</v>
      </c>
      <c r="AI65" s="1071">
        <v>3</v>
      </c>
      <c r="AJ65" s="1071">
        <v>11</v>
      </c>
      <c r="AK65" s="1071">
        <v>0</v>
      </c>
      <c r="AL65" s="1071">
        <v>4</v>
      </c>
      <c r="AM65" s="1071">
        <v>115</v>
      </c>
      <c r="AN65" s="447">
        <v>10</v>
      </c>
      <c r="AO65" s="447">
        <v>10</v>
      </c>
      <c r="AP65" s="447">
        <v>10</v>
      </c>
      <c r="AQ65" s="447">
        <v>10</v>
      </c>
      <c r="AR65" s="447">
        <v>10</v>
      </c>
      <c r="AS65" s="107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7109375" style="2392" hidden="1" customWidth="1"/>
    <col min="17" max="18" width="3" style="2359" customWidth="1"/>
    <col min="19" max="19" width="12" style="2387" customWidth="1"/>
    <col min="20" max="20" width="31" style="2360" customWidth="1"/>
    <col min="21" max="21" width="0.140625" style="2360" customWidth="1"/>
    <col min="22" max="22" width="24.7109375" style="2360" hidden="1" customWidth="1"/>
    <col min="23" max="23" width="0.140625" style="2360" hidden="1" customWidth="1"/>
    <col min="24" max="25" width="24.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24.7109375" style="2360" customWidth="1"/>
    <col min="31" max="31" width="0.140625" style="2360" customWidth="1"/>
    <col min="32" max="33" width="24" style="2360" customWidth="1"/>
    <col min="34" max="34" width="11" style="2360" customWidth="1"/>
    <col min="35" max="35" width="3.7109375" style="2360" customWidth="1"/>
    <col min="36" max="36" width="11" style="2360" customWidth="1"/>
    <col min="37" max="37" width="8.5703125" style="2360" hidden="1" customWidth="1"/>
    <col min="38" max="38" width="4" style="2360" customWidth="1"/>
    <col min="39" max="39" width="115" style="2360" customWidth="1"/>
    <col min="40" max="44" width="10" style="2344" customWidth="1"/>
    <col min="45" max="45" width="8.42578125" style="2360" hidden="1" customWidth="1"/>
  </cols>
  <sheetData>
    <row r="1" spans="1:45" ht="22.5" hidden="1" customHeight="1">
      <c r="Y1" s="264"/>
      <c r="Z1" s="264"/>
      <c r="AG1" s="264"/>
      <c r="AH1" s="264"/>
      <c r="AS1" s="1071" t="s">
        <v>14</v>
      </c>
    </row>
    <row r="2" spans="1:45" ht="21" hidden="1" customHeight="1">
      <c r="A2" s="1279"/>
      <c r="B2" s="1279"/>
      <c r="C2" s="1279"/>
      <c r="D2" s="1279"/>
      <c r="E2" s="2563">
        <v>1</v>
      </c>
      <c r="F2" s="1279"/>
      <c r="G2" s="1279"/>
      <c r="H2" s="1279"/>
      <c r="I2" s="1279"/>
      <c r="J2" s="1279"/>
      <c r="K2" s="1279"/>
      <c r="L2" s="1280"/>
      <c r="M2" s="1281"/>
      <c r="N2" s="1281"/>
      <c r="O2" s="1281"/>
      <c r="P2" s="297"/>
      <c r="Q2" s="296"/>
      <c r="R2" s="291"/>
      <c r="S2" s="1252" t="e">
        <f>INDEX(PT_DIFFERENTIATION_NUM_NTAR,MATCH(A2,PT_DIFFERENTIATION_NTAR_ID,0))</f>
        <v>#N/A</v>
      </c>
      <c r="T2" s="235" t="s">
        <v>124</v>
      </c>
      <c r="U2" s="237"/>
      <c r="V2" s="2557"/>
      <c r="W2" s="2558"/>
      <c r="X2" s="2558"/>
      <c r="Y2" s="2558"/>
      <c r="Z2" s="2558"/>
      <c r="AA2" s="2558"/>
      <c r="AB2" s="2558"/>
      <c r="AC2" s="2559"/>
      <c r="AD2" s="2557" t="e">
        <f>INDEX(PT_DIFFERENTIATION_NTAR,MATCH(A2,PT_DIFFERENTIATION_NTAR_ID,0))</f>
        <v>#N/A</v>
      </c>
      <c r="AE2" s="2558"/>
      <c r="AF2" s="2558"/>
      <c r="AG2" s="2558"/>
      <c r="AH2" s="2558"/>
      <c r="AI2" s="2558"/>
      <c r="AJ2" s="2558"/>
      <c r="AK2" s="2558"/>
      <c r="AL2" s="2559"/>
      <c r="AM2" s="1174" t="s">
        <v>395</v>
      </c>
      <c r="AO2" s="436"/>
      <c r="AP2" s="436" t="str">
        <f t="shared" ref="AP2:AP15" si="0">IF(T2="","",T2)</f>
        <v>Наименование тарифа</v>
      </c>
      <c r="AQ2" s="436"/>
      <c r="AR2" s="436"/>
      <c r="AS2" s="1071">
        <v>0</v>
      </c>
    </row>
    <row r="3" spans="1:45" ht="21" hidden="1" customHeight="1">
      <c r="A3" s="1279"/>
      <c r="B3" s="1279"/>
      <c r="C3" s="1279"/>
      <c r="D3" s="1279"/>
      <c r="E3" s="2564"/>
      <c r="F3" s="2563">
        <v>1</v>
      </c>
      <c r="G3" s="1279"/>
      <c r="H3" s="1279"/>
      <c r="I3" s="1279"/>
      <c r="J3" s="1279"/>
      <c r="K3" s="1279"/>
      <c r="L3" s="1280"/>
      <c r="M3" s="1281"/>
      <c r="N3" s="1281"/>
      <c r="O3" s="1281"/>
      <c r="P3" s="1248"/>
      <c r="Q3" s="288"/>
      <c r="R3" s="289"/>
      <c r="S3" s="1252" t="e">
        <f>INDEX(PT_DIFFERENTIATION_NUM_TER,MATCH(B3,PT_DIFFERENTIATION_TER_ID,0))</f>
        <v>#N/A</v>
      </c>
      <c r="T3" s="245" t="s">
        <v>396</v>
      </c>
      <c r="U3" s="237"/>
      <c r="V3" s="2557"/>
      <c r="W3" s="2558"/>
      <c r="X3" s="2558"/>
      <c r="Y3" s="2558"/>
      <c r="Z3" s="2558"/>
      <c r="AA3" s="2558"/>
      <c r="AB3" s="2558"/>
      <c r="AC3" s="2559"/>
      <c r="AD3" s="2557" t="e">
        <f>INDEX(PT_DIFFERENTIATION_TER,MATCH(B3,PT_DIFFERENTIATION_TER_ID,0))</f>
        <v>#N/A</v>
      </c>
      <c r="AE3" s="2558"/>
      <c r="AF3" s="2558"/>
      <c r="AG3" s="2558"/>
      <c r="AH3" s="2558"/>
      <c r="AI3" s="2558"/>
      <c r="AJ3" s="2558"/>
      <c r="AK3" s="2558"/>
      <c r="AL3" s="2559"/>
      <c r="AM3" s="1174" t="s">
        <v>397</v>
      </c>
      <c r="AO3" s="436"/>
      <c r="AP3" s="436" t="str">
        <f t="shared" si="0"/>
        <v>Территория действия тарифа</v>
      </c>
      <c r="AQ3" s="436"/>
      <c r="AR3" s="436"/>
      <c r="AS3" s="1071">
        <v>0</v>
      </c>
    </row>
    <row r="4" spans="1:45" ht="23.25" hidden="1" customHeight="1">
      <c r="A4" s="1279"/>
      <c r="B4" s="1279"/>
      <c r="C4" s="1279"/>
      <c r="D4" s="1279"/>
      <c r="E4" s="2564"/>
      <c r="F4" s="2564"/>
      <c r="G4" s="2563">
        <v>1</v>
      </c>
      <c r="H4" s="1279"/>
      <c r="I4" s="1279"/>
      <c r="J4" s="1279"/>
      <c r="K4" s="1279"/>
      <c r="L4" s="1280"/>
      <c r="M4" s="1281"/>
      <c r="N4" s="1281"/>
      <c r="O4" s="1281"/>
      <c r="P4" s="290"/>
      <c r="Q4" s="288"/>
      <c r="R4" s="289"/>
      <c r="S4" s="1252" t="e">
        <f>INDEX(PT_DIFFERENTIATION_NUM_CS,MATCH(C4,PT_DIFFERENTIATION_CS_ID,0))</f>
        <v>#N/A</v>
      </c>
      <c r="T4" s="246" t="s">
        <v>398</v>
      </c>
      <c r="U4" s="237"/>
      <c r="V4" s="2557"/>
      <c r="W4" s="2558"/>
      <c r="X4" s="2558"/>
      <c r="Y4" s="2558"/>
      <c r="Z4" s="2558"/>
      <c r="AA4" s="2558"/>
      <c r="AB4" s="2558"/>
      <c r="AC4" s="2559"/>
      <c r="AD4" s="2557" t="e">
        <f>INDEX(PT_DIFFERENTIATION_CS,MATCH(C4,PT_DIFFERENTIATION_CS_ID,0))</f>
        <v>#N/A</v>
      </c>
      <c r="AE4" s="2558"/>
      <c r="AF4" s="2558"/>
      <c r="AG4" s="2558"/>
      <c r="AH4" s="2558"/>
      <c r="AI4" s="2558"/>
      <c r="AJ4" s="2558"/>
      <c r="AK4" s="2558"/>
      <c r="AL4" s="2559"/>
      <c r="AM4" s="1174" t="s">
        <v>399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564"/>
      <c r="F5" s="2564"/>
      <c r="G5" s="2564"/>
      <c r="H5" s="2563">
        <v>1</v>
      </c>
      <c r="I5" s="1279"/>
      <c r="J5" s="1279"/>
      <c r="K5" s="1279"/>
      <c r="L5" s="1280"/>
      <c r="M5" s="1281"/>
      <c r="N5" s="1281"/>
      <c r="O5" s="1281"/>
      <c r="P5" s="290"/>
      <c r="Q5" s="288"/>
      <c r="R5" s="289"/>
      <c r="S5" s="1252" t="e">
        <f>INDEX(PT_DIFFERENTIATION_NUM_IST_TE,MATCH(D5,PT_DIFFERENTIATION_IST_TE_ID,0))</f>
        <v>#N/A</v>
      </c>
      <c r="T5" s="247" t="s">
        <v>400</v>
      </c>
      <c r="U5" s="237"/>
      <c r="V5" s="2557"/>
      <c r="W5" s="2558"/>
      <c r="X5" s="2558"/>
      <c r="Y5" s="2558"/>
      <c r="Z5" s="2558"/>
      <c r="AA5" s="2558"/>
      <c r="AB5" s="2558"/>
      <c r="AC5" s="2559"/>
      <c r="AD5" s="2557" t="e">
        <f>INDEX(PT_DIFFERENTIATION_IST_TE,MATCH(D5,PT_DIFFERENTIATION_IST_TE_ID,0))</f>
        <v>#N/A</v>
      </c>
      <c r="AE5" s="2558"/>
      <c r="AF5" s="2558"/>
      <c r="AG5" s="2558"/>
      <c r="AH5" s="2558"/>
      <c r="AI5" s="2558"/>
      <c r="AJ5" s="2558"/>
      <c r="AK5" s="2558"/>
      <c r="AL5" s="2559"/>
      <c r="AM5" s="1174" t="s">
        <v>401</v>
      </c>
      <c r="AO5" s="436"/>
      <c r="AP5" s="436" t="str">
        <f t="shared" si="0"/>
        <v xml:space="preserve">Источник тепловой энергии  </v>
      </c>
      <c r="AQ5" s="436"/>
      <c r="AR5" s="436"/>
      <c r="AS5" s="1071">
        <v>0</v>
      </c>
    </row>
    <row r="6" spans="1:45" ht="14.25" hidden="1" customHeight="1">
      <c r="A6" s="1279"/>
      <c r="B6" s="1279"/>
      <c r="C6" s="1279"/>
      <c r="D6" s="1279"/>
      <c r="E6" s="2564"/>
      <c r="F6" s="2564"/>
      <c r="G6" s="2564"/>
      <c r="H6" s="2564"/>
      <c r="I6" s="2565" t="e">
        <f>S5&amp;".1"</f>
        <v>#N/A</v>
      </c>
      <c r="J6" s="1279"/>
      <c r="K6" s="1279"/>
      <c r="L6" s="1280" t="s">
        <v>402</v>
      </c>
      <c r="M6" s="473"/>
      <c r="P6" s="2567">
        <v>1</v>
      </c>
      <c r="Q6" s="1247"/>
      <c r="R6" s="292"/>
      <c r="S6" s="964"/>
      <c r="T6" s="1299"/>
      <c r="U6" s="1300"/>
      <c r="V6" s="2594"/>
      <c r="W6" s="2595"/>
      <c r="X6" s="2595"/>
      <c r="Y6" s="2595"/>
      <c r="Z6" s="2595"/>
      <c r="AA6" s="2595"/>
      <c r="AB6" s="2595"/>
      <c r="AC6" s="2596"/>
      <c r="AD6" s="2594"/>
      <c r="AE6" s="2595"/>
      <c r="AF6" s="2595"/>
      <c r="AG6" s="2595"/>
      <c r="AH6" s="2595"/>
      <c r="AI6" s="2595"/>
      <c r="AJ6" s="2595"/>
      <c r="AK6" s="2595"/>
      <c r="AL6" s="2596"/>
      <c r="AM6" s="1301"/>
      <c r="AO6" s="436"/>
      <c r="AP6" s="436" t="str">
        <f t="shared" si="0"/>
        <v/>
      </c>
      <c r="AQ6" s="436"/>
      <c r="AR6" s="436"/>
      <c r="AS6" s="1071">
        <v>0</v>
      </c>
    </row>
    <row r="7" spans="1:45" ht="21" hidden="1" customHeight="1">
      <c r="A7" s="1279"/>
      <c r="B7" s="1279"/>
      <c r="C7" s="1279"/>
      <c r="D7" s="1279"/>
      <c r="E7" s="2564"/>
      <c r="F7" s="2564"/>
      <c r="G7" s="2564"/>
      <c r="H7" s="2564"/>
      <c r="I7" s="2566"/>
      <c r="J7" s="2565" t="e">
        <f>I6&amp;".1"</f>
        <v>#N/A</v>
      </c>
      <c r="K7" s="1279"/>
      <c r="L7" s="1280" t="s">
        <v>405</v>
      </c>
      <c r="M7" s="473"/>
      <c r="N7" s="1282"/>
      <c r="P7" s="2567"/>
      <c r="Q7" s="2567">
        <v>1</v>
      </c>
      <c r="R7" s="293"/>
      <c r="S7" s="1252" t="e">
        <f>$J7</f>
        <v>#N/A</v>
      </c>
      <c r="T7" s="223" t="s">
        <v>406</v>
      </c>
      <c r="U7" s="237"/>
      <c r="V7" s="2551"/>
      <c r="W7" s="2552"/>
      <c r="X7" s="2552"/>
      <c r="Y7" s="2552"/>
      <c r="Z7" s="2552"/>
      <c r="AA7" s="2552"/>
      <c r="AB7" s="2552"/>
      <c r="AC7" s="2553"/>
      <c r="AD7" s="2551"/>
      <c r="AE7" s="2552"/>
      <c r="AF7" s="2552"/>
      <c r="AG7" s="2552"/>
      <c r="AH7" s="2552"/>
      <c r="AI7" s="2552"/>
      <c r="AJ7" s="2552"/>
      <c r="AK7" s="2552"/>
      <c r="AL7" s="2553"/>
      <c r="AM7" s="1174" t="s">
        <v>407</v>
      </c>
      <c r="AO7" s="436"/>
      <c r="AP7" s="436" t="str">
        <f t="shared" si="0"/>
        <v>Группа потребителей</v>
      </c>
      <c r="AQ7" s="436"/>
      <c r="AR7" s="436"/>
      <c r="AS7" s="1071">
        <v>0</v>
      </c>
    </row>
    <row r="8" spans="1:45" ht="21" hidden="1" customHeight="1">
      <c r="A8" s="1279"/>
      <c r="B8" s="1279"/>
      <c r="C8" s="1279"/>
      <c r="D8" s="1279"/>
      <c r="E8" s="2564"/>
      <c r="F8" s="2564"/>
      <c r="G8" s="2564"/>
      <c r="H8" s="2564"/>
      <c r="I8" s="2566"/>
      <c r="J8" s="2566"/>
      <c r="K8" s="2565" t="e">
        <f>J7&amp;".1"</f>
        <v>#N/A</v>
      </c>
      <c r="L8" s="1280" t="s">
        <v>408</v>
      </c>
      <c r="M8" s="473"/>
      <c r="N8" s="1282"/>
      <c r="O8" s="1282"/>
      <c r="P8" s="2567"/>
      <c r="Q8" s="2567"/>
      <c r="R8" s="293">
        <v>1</v>
      </c>
      <c r="S8" s="1252" t="e">
        <f>$K8</f>
        <v>#N/A</v>
      </c>
      <c r="T8" s="1263"/>
      <c r="U8" s="237"/>
      <c r="V8" s="687"/>
      <c r="W8" s="262"/>
      <c r="X8" s="687"/>
      <c r="Y8" s="1173"/>
      <c r="Z8" s="2568"/>
      <c r="AA8" s="2445" t="s">
        <v>62</v>
      </c>
      <c r="AB8" s="2568"/>
      <c r="AC8" s="2445" t="s">
        <v>62</v>
      </c>
      <c r="AD8" s="687"/>
      <c r="AE8" s="262"/>
      <c r="AF8" s="687"/>
      <c r="AG8" s="1173"/>
      <c r="AH8" s="2568"/>
      <c r="AI8" s="2445" t="s">
        <v>62</v>
      </c>
      <c r="AJ8" s="2568"/>
      <c r="AK8" s="2445" t="s">
        <v>62</v>
      </c>
      <c r="AL8" s="262"/>
      <c r="AM8" s="2586" t="s">
        <v>409</v>
      </c>
      <c r="AN8" s="447" t="e">
        <f ca="1">STRCHECKDATE(V9:AL9)</f>
        <v>#NAME?</v>
      </c>
      <c r="AO8" s="436"/>
      <c r="AP8" s="436" t="str">
        <f t="shared" si="0"/>
        <v/>
      </c>
      <c r="AQ8" s="436"/>
      <c r="AR8" s="436"/>
      <c r="AS8" s="1071">
        <v>0</v>
      </c>
    </row>
    <row r="9" spans="1:45" ht="0.75" hidden="1" customHeight="1">
      <c r="A9" s="1279"/>
      <c r="B9" s="1279"/>
      <c r="C9" s="1279"/>
      <c r="D9" s="1279"/>
      <c r="E9" s="2564"/>
      <c r="F9" s="2564"/>
      <c r="G9" s="2564"/>
      <c r="H9" s="2564"/>
      <c r="I9" s="2566"/>
      <c r="J9" s="2566"/>
      <c r="K9" s="2565"/>
      <c r="L9" s="1280"/>
      <c r="M9" s="473"/>
      <c r="N9" s="1282"/>
      <c r="O9" s="1282"/>
      <c r="P9" s="2567"/>
      <c r="Q9" s="2567"/>
      <c r="R9" s="293"/>
      <c r="S9" s="1258"/>
      <c r="T9" s="237"/>
      <c r="U9" s="237"/>
      <c r="V9" s="262"/>
      <c r="W9" s="262"/>
      <c r="X9" s="262"/>
      <c r="Y9" s="265" t="str">
        <f>Z8&amp;"-"&amp;AB8</f>
        <v>-</v>
      </c>
      <c r="Z9" s="2569"/>
      <c r="AA9" s="2445"/>
      <c r="AB9" s="2569"/>
      <c r="AC9" s="2445"/>
      <c r="AD9" s="262"/>
      <c r="AE9" s="262"/>
      <c r="AF9" s="262"/>
      <c r="AG9" s="265" t="str">
        <f>AH8&amp;"-"&amp;AJ8</f>
        <v>-</v>
      </c>
      <c r="AH9" s="2569"/>
      <c r="AI9" s="2445"/>
      <c r="AJ9" s="2569"/>
      <c r="AK9" s="2445"/>
      <c r="AL9" s="262"/>
      <c r="AM9" s="2587"/>
      <c r="AO9" s="436"/>
      <c r="AP9" s="436" t="str">
        <f t="shared" si="0"/>
        <v/>
      </c>
      <c r="AQ9" s="436"/>
      <c r="AR9" s="436"/>
      <c r="AS9" s="1071">
        <v>0</v>
      </c>
    </row>
    <row r="10" spans="1:45" ht="15" hidden="1" customHeight="1">
      <c r="A10" s="1279"/>
      <c r="B10" s="1279"/>
      <c r="C10" s="1279"/>
      <c r="D10" s="1279"/>
      <c r="E10" s="2564"/>
      <c r="F10" s="2564"/>
      <c r="G10" s="2564"/>
      <c r="H10" s="2564"/>
      <c r="I10" s="2566"/>
      <c r="J10" s="2565"/>
      <c r="K10" s="1279"/>
      <c r="L10" s="1280"/>
      <c r="M10" s="473"/>
      <c r="N10" s="1282"/>
      <c r="P10" s="2567"/>
      <c r="Q10" s="2567"/>
      <c r="R10" s="292"/>
      <c r="S10" s="1194"/>
      <c r="T10" s="224" t="s">
        <v>410</v>
      </c>
      <c r="U10" s="303"/>
      <c r="V10" s="303"/>
      <c r="W10" s="303"/>
      <c r="X10" s="303"/>
      <c r="Y10" s="303"/>
      <c r="Z10" s="303"/>
      <c r="AA10" s="303"/>
      <c r="AB10" s="303"/>
      <c r="AC10" s="303"/>
      <c r="AD10" s="303"/>
      <c r="AE10" s="303"/>
      <c r="AF10" s="303"/>
      <c r="AG10" s="303"/>
      <c r="AH10" s="303"/>
      <c r="AI10" s="303"/>
      <c r="AJ10" s="303"/>
      <c r="AK10" s="303"/>
      <c r="AL10" s="261"/>
      <c r="AM10" s="2588"/>
      <c r="AO10" s="436"/>
      <c r="AP10" s="436" t="str">
        <f t="shared" si="0"/>
        <v>Добавить вид теплоносителя (параметры теплоносителя)</v>
      </c>
      <c r="AQ10" s="436"/>
      <c r="AR10" s="436"/>
      <c r="AS10" s="1071">
        <v>0</v>
      </c>
    </row>
    <row r="11" spans="1:45" ht="15" hidden="1" customHeight="1">
      <c r="A11" s="1279"/>
      <c r="B11" s="1279"/>
      <c r="C11" s="1279"/>
      <c r="D11" s="1279"/>
      <c r="E11" s="2564"/>
      <c r="F11" s="2564"/>
      <c r="G11" s="2564"/>
      <c r="H11" s="2564"/>
      <c r="I11" s="2565"/>
      <c r="J11" s="1279"/>
      <c r="K11" s="1279"/>
      <c r="L11" s="1280"/>
      <c r="M11" s="473"/>
      <c r="P11" s="2567"/>
      <c r="Q11" s="1247"/>
      <c r="R11" s="292"/>
      <c r="S11" s="119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564"/>
      <c r="F12" s="2564"/>
      <c r="G12" s="2564"/>
      <c r="H12" s="2563"/>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344" customFormat="1" ht="0.75" hidden="1" customHeight="1">
      <c r="A13" s="1230"/>
      <c r="B13" s="1230"/>
      <c r="C13" s="1230"/>
      <c r="D13" s="1230"/>
      <c r="E13" s="2564"/>
      <c r="F13" s="2564"/>
      <c r="G13" s="2563"/>
      <c r="H13" s="1230"/>
      <c r="I13" s="1230"/>
      <c r="J13" s="1230"/>
      <c r="K13" s="1230"/>
      <c r="L13" s="1255"/>
      <c r="M13" s="1231"/>
      <c r="N13" s="1231"/>
      <c r="P13" s="1232"/>
      <c r="Q13" s="1233"/>
      <c r="R13" s="1232"/>
      <c r="S13" s="1234"/>
      <c r="T13" s="1235" t="s">
        <v>413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344" customFormat="1" ht="0.75" hidden="1" customHeight="1">
      <c r="A14" s="1230"/>
      <c r="B14" s="1230"/>
      <c r="C14" s="1230"/>
      <c r="D14" s="1230"/>
      <c r="E14" s="2564"/>
      <c r="F14" s="2563"/>
      <c r="G14" s="1230"/>
      <c r="H14" s="1230"/>
      <c r="I14" s="1230"/>
      <c r="J14" s="1230"/>
      <c r="K14" s="1230"/>
      <c r="L14" s="1255"/>
      <c r="M14" s="1237"/>
      <c r="N14" s="1237"/>
      <c r="P14" s="1232"/>
      <c r="Q14" s="1233"/>
      <c r="R14" s="1232"/>
      <c r="S14" s="1238"/>
      <c r="T14" s="1239" t="s">
        <v>414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344" customFormat="1" ht="0.75" hidden="1" customHeight="1">
      <c r="A15" s="1230"/>
      <c r="B15" s="1230"/>
      <c r="C15" s="1230"/>
      <c r="D15" s="1230"/>
      <c r="E15" s="2563"/>
      <c r="F15" s="1230"/>
      <c r="G15" s="1230"/>
      <c r="H15" s="1230"/>
      <c r="I15" s="1230"/>
      <c r="J15" s="1230"/>
      <c r="K15" s="1230"/>
      <c r="L15" s="1255"/>
      <c r="M15" s="1237"/>
      <c r="N15" s="1237"/>
      <c r="P15" s="1232"/>
      <c r="Q15" s="1233"/>
      <c r="R15" s="1232"/>
      <c r="S15" s="1238"/>
      <c r="T15" s="1241" t="s">
        <v>415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61"/>
      <c r="AI17" s="2560" t="s">
        <v>62</v>
      </c>
      <c r="AJ17" s="2561"/>
      <c r="AK17" s="2560" t="s">
        <v>62</v>
      </c>
      <c r="AS17" s="1071">
        <v>0</v>
      </c>
    </row>
    <row r="18" spans="1:45" ht="14.25" hidden="1" customHeight="1">
      <c r="AD18" s="1276"/>
      <c r="AE18" s="1276"/>
      <c r="AF18" s="1276"/>
      <c r="AG18" s="265" t="str">
        <f>AH17&amp;"-"&amp;AJ17</f>
        <v>-</v>
      </c>
      <c r="AH18" s="2560"/>
      <c r="AI18" s="2560"/>
      <c r="AJ18" s="2560"/>
      <c r="AK18" s="2560"/>
      <c r="AS18" s="1071">
        <v>0</v>
      </c>
    </row>
    <row r="19" spans="1:45" ht="14.25" hidden="1" customHeight="1">
      <c r="AK19" s="264"/>
      <c r="AS19" s="1071">
        <v>0</v>
      </c>
    </row>
    <row r="20" spans="1:45" s="2357" customFormat="1" ht="22.5" hidden="1" customHeight="1">
      <c r="L20" s="1245"/>
      <c r="M20" s="1278"/>
      <c r="N20" s="1278"/>
      <c r="O20" s="1283" t="s">
        <v>416</v>
      </c>
      <c r="P20" s="1278"/>
      <c r="Q20" s="1287"/>
      <c r="R20" s="1287"/>
      <c r="S20" s="665"/>
      <c r="Z20" s="1283"/>
      <c r="AB20" s="1283"/>
      <c r="AC20" s="1282"/>
      <c r="AH20" s="1283"/>
      <c r="AJ20" s="1283"/>
      <c r="AK20" s="1282"/>
      <c r="AN20" s="447"/>
      <c r="AO20" s="447"/>
      <c r="AP20" s="447"/>
      <c r="AQ20" s="447"/>
      <c r="AR20" s="447"/>
      <c r="AS20" s="1076">
        <v>0</v>
      </c>
    </row>
    <row r="21" spans="1:45" s="235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57" customFormat="1" ht="14.25" hidden="1" customHeight="1">
      <c r="L22" s="1245"/>
      <c r="M22" s="1278"/>
      <c r="N22" s="1278"/>
      <c r="O22" s="1280" t="s">
        <v>417</v>
      </c>
      <c r="P22" s="1278"/>
      <c r="Q22" s="1287"/>
      <c r="R22" s="1287"/>
      <c r="S22" s="665"/>
      <c r="T22" s="1076" t="s">
        <v>418</v>
      </c>
      <c r="AA22" s="123" t="s">
        <v>419</v>
      </c>
      <c r="AC22" s="123" t="s">
        <v>420</v>
      </c>
      <c r="AD22" s="1076" t="s">
        <v>418</v>
      </c>
      <c r="AI22" s="123" t="s">
        <v>421</v>
      </c>
      <c r="AK22" s="123" t="s">
        <v>420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63" customHeight="1">
      <c r="Q26" s="312"/>
      <c r="R26" s="312"/>
      <c r="S26" s="25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4"/>
      <c r="U26" s="2544"/>
      <c r="V26" s="2544"/>
      <c r="W26" s="2544"/>
      <c r="X26" s="2544"/>
      <c r="Y26" s="2544"/>
      <c r="Z26" s="2544"/>
      <c r="AA26" s="2544"/>
      <c r="AB26" s="2544"/>
      <c r="AC26" s="2544"/>
      <c r="AD26" s="2544"/>
      <c r="AE26" s="2544"/>
      <c r="AF26" s="2544"/>
      <c r="AG26" s="2544"/>
      <c r="AH26" s="2544"/>
      <c r="AI26" s="2544"/>
      <c r="AJ26" s="2544"/>
      <c r="AK26" s="1159"/>
      <c r="AS26" s="1071">
        <v>60</v>
      </c>
    </row>
    <row r="27" spans="1:45" ht="14.65" customHeight="1">
      <c r="Q27" s="312"/>
      <c r="R27" s="312"/>
      <c r="S27" s="2516" t="str">
        <f>IF(org=0,"Не определено",org)</f>
        <v>ООО "Пятигорсктеплосервис"</v>
      </c>
      <c r="T27" s="2516"/>
      <c r="U27" s="2516"/>
      <c r="V27" s="2516"/>
      <c r="W27" s="2516"/>
      <c r="X27" s="2516"/>
      <c r="Y27" s="2516"/>
      <c r="Z27" s="2516"/>
      <c r="AA27" s="2516"/>
      <c r="AB27" s="2516"/>
      <c r="AC27" s="2516"/>
      <c r="AD27" s="2516"/>
      <c r="AE27" s="2516"/>
      <c r="AF27" s="2516"/>
      <c r="AG27" s="2516"/>
      <c r="AH27" s="2516"/>
      <c r="AI27" s="2516"/>
      <c r="AJ27" s="2516"/>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380" customFormat="1" ht="25.5" hidden="1" customHeight="1">
      <c r="A29" s="1284"/>
      <c r="B29" s="1284"/>
      <c r="C29" s="1284"/>
      <c r="D29" s="1284"/>
      <c r="E29" s="1284"/>
      <c r="F29" s="1284"/>
      <c r="G29" s="1284"/>
      <c r="H29" s="1284"/>
      <c r="I29" s="1284"/>
      <c r="J29" s="1284"/>
      <c r="K29" s="1284"/>
      <c r="L29" s="1285"/>
      <c r="M29" s="1284"/>
      <c r="N29" s="1284"/>
      <c r="O29" s="1284"/>
      <c r="S29" s="2554" t="s">
        <v>41</v>
      </c>
      <c r="T29" s="2554"/>
      <c r="U29" s="1288"/>
      <c r="V29" s="2556" t="str">
        <f>IF(TITLE_NAME_OR_PR_CHANGE="",IF(TITLE_NAME_OR_PR="","",TITLE_NAME_OR_PR),TITLE_NAME_OR_PR_CHANGE)</f>
        <v/>
      </c>
      <c r="W29" s="2556"/>
      <c r="X29" s="2556"/>
      <c r="Y29" s="2556"/>
      <c r="Z29" s="2556"/>
      <c r="AA29" s="2556"/>
      <c r="AB29" s="2556"/>
      <c r="AC29" s="263"/>
      <c r="AD29" s="2556" t="str">
        <f>IF(TITLE_NAME_OR_PR_CHANGE="",IF(TITLE_NAME_OR_PR="","",TITLE_NAME_OR_PR),TITLE_NAME_OR_PR_CHANGE)</f>
        <v/>
      </c>
      <c r="AE29" s="2556"/>
      <c r="AF29" s="2556"/>
      <c r="AG29" s="2556"/>
      <c r="AH29" s="2556"/>
      <c r="AI29" s="2556"/>
      <c r="AJ29" s="2556"/>
      <c r="AK29" s="263"/>
      <c r="AL29" s="263"/>
      <c r="AM29" s="217"/>
      <c r="AN29" s="304"/>
      <c r="AO29" s="304"/>
      <c r="AP29" s="304"/>
      <c r="AQ29" s="304"/>
      <c r="AR29" s="304"/>
      <c r="AS29" s="354">
        <v>0</v>
      </c>
    </row>
    <row r="30" spans="1:45" s="2380" customFormat="1" ht="18.75" hidden="1" customHeight="1">
      <c r="A30" s="1284"/>
      <c r="B30" s="1284"/>
      <c r="C30" s="1284"/>
      <c r="D30" s="1284"/>
      <c r="E30" s="1284"/>
      <c r="F30" s="1284"/>
      <c r="G30" s="1284"/>
      <c r="H30" s="1284"/>
      <c r="I30" s="1284"/>
      <c r="J30" s="1284"/>
      <c r="K30" s="1284"/>
      <c r="L30" s="1285"/>
      <c r="M30" s="1284"/>
      <c r="N30" s="1284"/>
      <c r="O30" s="1284"/>
      <c r="S30" s="2554" t="s">
        <v>422</v>
      </c>
      <c r="T30" s="2554"/>
      <c r="U30" s="1288"/>
      <c r="V30" s="2555" t="str">
        <f>IF(TITLE_DATE_PR_CHANGE="",IF(TITLE_DATE_PR="","",TITLE_DATE_PR),TITLE_DATE_PR_CHANGE)</f>
        <v/>
      </c>
      <c r="W30" s="2555"/>
      <c r="X30" s="2555"/>
      <c r="Y30" s="2555"/>
      <c r="Z30" s="2555"/>
      <c r="AA30" s="2555"/>
      <c r="AB30" s="2555"/>
      <c r="AC30" s="263"/>
      <c r="AD30" s="2555" t="str">
        <f>IF(TITLE_DATE_PR_CHANGE="",IF(TITLE_DATE_PR="","",TITLE_DATE_PR),TITLE_DATE_PR_CHANGE)</f>
        <v/>
      </c>
      <c r="AE30" s="2555"/>
      <c r="AF30" s="2555"/>
      <c r="AG30" s="2555"/>
      <c r="AH30" s="2555"/>
      <c r="AI30" s="2555"/>
      <c r="AJ30" s="2555"/>
      <c r="AK30" s="263"/>
      <c r="AL30" s="263"/>
      <c r="AM30" s="217"/>
      <c r="AN30" s="304"/>
      <c r="AO30" s="304"/>
      <c r="AP30" s="304"/>
      <c r="AQ30" s="304"/>
      <c r="AR30" s="304"/>
      <c r="AS30" s="354">
        <v>0</v>
      </c>
    </row>
    <row r="31" spans="1:45" s="2380" customFormat="1" ht="18.75" hidden="1" customHeight="1">
      <c r="A31" s="1284"/>
      <c r="B31" s="1284"/>
      <c r="C31" s="1284"/>
      <c r="D31" s="1284"/>
      <c r="E31" s="1284"/>
      <c r="F31" s="1284"/>
      <c r="G31" s="1284"/>
      <c r="H31" s="1284"/>
      <c r="I31" s="1284"/>
      <c r="J31" s="1284"/>
      <c r="K31" s="1284"/>
      <c r="L31" s="1285"/>
      <c r="M31" s="1284"/>
      <c r="N31" s="1284"/>
      <c r="O31" s="1284"/>
      <c r="S31" s="2554" t="s">
        <v>423</v>
      </c>
      <c r="T31" s="2554"/>
      <c r="U31" s="1288"/>
      <c r="V31" s="2556" t="str">
        <f>IF(TITLE_NUMBER_PR_CHANGE="",IF(TITLE_NUMBER_PR="","",TITLE_NUMBER_PR),TITLE_NUMBER_PR_CHANGE)</f>
        <v/>
      </c>
      <c r="W31" s="2556"/>
      <c r="X31" s="2556"/>
      <c r="Y31" s="2556"/>
      <c r="Z31" s="2556"/>
      <c r="AA31" s="2556"/>
      <c r="AB31" s="2556"/>
      <c r="AC31" s="263"/>
      <c r="AD31" s="2556" t="str">
        <f>IF(TITLE_NUMBER_PR_CHANGE="",IF(TITLE_NUMBER_PR="","",TITLE_NUMBER_PR),TITLE_NUMBER_PR_CHANGE)</f>
        <v/>
      </c>
      <c r="AE31" s="2556"/>
      <c r="AF31" s="2556"/>
      <c r="AG31" s="2556"/>
      <c r="AH31" s="2556"/>
      <c r="AI31" s="2556"/>
      <c r="AJ31" s="2556"/>
      <c r="AK31" s="263"/>
      <c r="AL31" s="263"/>
      <c r="AM31" s="217"/>
      <c r="AN31" s="304"/>
      <c r="AO31" s="304"/>
      <c r="AP31" s="304"/>
      <c r="AQ31" s="304"/>
      <c r="AR31" s="304"/>
      <c r="AS31" s="354">
        <v>0</v>
      </c>
    </row>
    <row r="32" spans="1:45" s="2380" customFormat="1" ht="18.75" hidden="1" customHeight="1">
      <c r="A32" s="1284"/>
      <c r="B32" s="1284"/>
      <c r="C32" s="1284"/>
      <c r="D32" s="1284"/>
      <c r="E32" s="1284"/>
      <c r="F32" s="1284"/>
      <c r="G32" s="1284"/>
      <c r="H32" s="1284"/>
      <c r="I32" s="1284"/>
      <c r="J32" s="1284"/>
      <c r="K32" s="1284"/>
      <c r="L32" s="1285"/>
      <c r="M32" s="1284"/>
      <c r="N32" s="1284"/>
      <c r="O32" s="1284"/>
      <c r="S32" s="2554" t="s">
        <v>42</v>
      </c>
      <c r="T32" s="2554"/>
      <c r="U32" s="1288"/>
      <c r="V32" s="2556" t="str">
        <f>IF(TITLE_IST_PUB_CHANGE="",IF(TITLE_IST_PUB="","",TITLE_IST_PUB),TITLE_IST_PUB_CHANGE)</f>
        <v/>
      </c>
      <c r="W32" s="2556"/>
      <c r="X32" s="2556"/>
      <c r="Y32" s="2556"/>
      <c r="Z32" s="2556"/>
      <c r="AA32" s="2556"/>
      <c r="AB32" s="2556"/>
      <c r="AC32" s="263"/>
      <c r="AD32" s="2556" t="str">
        <f>IF(TITLE_IST_PUB_CHANGE="",IF(TITLE_IST_PUB="","",TITLE_IST_PUB),TITLE_IST_PUB_CHANGE)</f>
        <v/>
      </c>
      <c r="AE32" s="2556"/>
      <c r="AF32" s="2556"/>
      <c r="AG32" s="2556"/>
      <c r="AH32" s="2556"/>
      <c r="AI32" s="2556"/>
      <c r="AJ32" s="2556"/>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380" customFormat="1" ht="18.75" hidden="1" customHeight="1">
      <c r="A34" s="1284"/>
      <c r="B34" s="1284"/>
      <c r="C34" s="1284"/>
      <c r="D34" s="1284"/>
      <c r="E34" s="1284"/>
      <c r="F34" s="1284"/>
      <c r="G34" s="1284"/>
      <c r="H34" s="1284"/>
      <c r="I34" s="1284"/>
      <c r="J34" s="1284"/>
      <c r="K34" s="1284"/>
      <c r="L34" s="1285"/>
      <c r="M34" s="1284"/>
      <c r="N34" s="1284"/>
      <c r="O34" s="1284"/>
      <c r="S34" s="2554" t="s">
        <v>424</v>
      </c>
      <c r="T34" s="2554"/>
      <c r="U34" s="1288"/>
      <c r="V34" s="2555" t="str">
        <f>IF(TITLE_DATE_PR_CHANGE="",IF(TITLE_DATE_PR="","",TITLE_DATE_PR),TITLE_DATE_PR_CHANGE)</f>
        <v/>
      </c>
      <c r="W34" s="2555"/>
      <c r="X34" s="2555"/>
      <c r="Y34" s="2555"/>
      <c r="Z34" s="2555"/>
      <c r="AA34" s="2555"/>
      <c r="AB34" s="2555"/>
      <c r="AC34" s="263"/>
      <c r="AD34" s="2555" t="str">
        <f>IF(TITLE_DATE_PR_CHANGE="",IF(TITLE_DATE_PR="","",TITLE_DATE_PR),TITLE_DATE_PR_CHANGE)</f>
        <v/>
      </c>
      <c r="AE34" s="2555"/>
      <c r="AF34" s="2555"/>
      <c r="AG34" s="2555"/>
      <c r="AH34" s="2555"/>
      <c r="AI34" s="2555"/>
      <c r="AJ34" s="2555"/>
      <c r="AK34" s="263"/>
      <c r="AL34" s="263"/>
      <c r="AM34" s="217"/>
      <c r="AN34" s="304"/>
      <c r="AO34" s="304"/>
      <c r="AP34" s="304"/>
      <c r="AQ34" s="304"/>
      <c r="AR34" s="304"/>
      <c r="AS34" s="354">
        <v>0</v>
      </c>
    </row>
    <row r="35" spans="1:45" s="2380" customFormat="1" ht="18.75" hidden="1" customHeight="1">
      <c r="A35" s="1284"/>
      <c r="B35" s="1284"/>
      <c r="C35" s="1284"/>
      <c r="D35" s="1284"/>
      <c r="E35" s="1284"/>
      <c r="F35" s="1284"/>
      <c r="G35" s="1284"/>
      <c r="H35" s="1284"/>
      <c r="I35" s="1284"/>
      <c r="J35" s="1284"/>
      <c r="K35" s="1284"/>
      <c r="L35" s="1285"/>
      <c r="M35" s="1284"/>
      <c r="N35" s="1284"/>
      <c r="O35" s="1284"/>
      <c r="S35" s="2554" t="s">
        <v>425</v>
      </c>
      <c r="T35" s="2554"/>
      <c r="U35" s="1288"/>
      <c r="V35" s="2556" t="str">
        <f>IF(TITLE_NUMBER_PR_CHANGE="",IF(TITLE_NUMBER_PR="","",TITLE_NUMBER_PR),TITLE_NUMBER_PR_CHANGE)</f>
        <v/>
      </c>
      <c r="W35" s="2556"/>
      <c r="X35" s="2556"/>
      <c r="Y35" s="2556"/>
      <c r="Z35" s="2556"/>
      <c r="AA35" s="2556"/>
      <c r="AB35" s="2556"/>
      <c r="AC35" s="263"/>
      <c r="AD35" s="2556" t="str">
        <f>IF(TITLE_NUMBER_PR_CHANGE="",IF(TITLE_NUMBER_PR="","",TITLE_NUMBER_PR),TITLE_NUMBER_PR_CHANGE)</f>
        <v/>
      </c>
      <c r="AE35" s="2556"/>
      <c r="AF35" s="2556"/>
      <c r="AG35" s="2556"/>
      <c r="AH35" s="2556"/>
      <c r="AI35" s="2556"/>
      <c r="AJ35" s="2556"/>
      <c r="AK35" s="263"/>
      <c r="AL35" s="263"/>
      <c r="AM35" s="217"/>
      <c r="AN35" s="304"/>
      <c r="AO35" s="304"/>
      <c r="AP35" s="304"/>
      <c r="AQ35" s="304"/>
      <c r="AR35" s="304"/>
      <c r="AS35" s="354">
        <v>0</v>
      </c>
    </row>
    <row r="36" spans="1:45" s="238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1"/>
      <c r="T37" s="299"/>
      <c r="U37" s="1160"/>
      <c r="V37" s="2575"/>
      <c r="W37" s="2575"/>
      <c r="X37" s="2575"/>
      <c r="Y37" s="2575"/>
      <c r="Z37" s="2575"/>
      <c r="AA37" s="2575"/>
      <c r="AB37" s="2575"/>
      <c r="AC37" s="2575"/>
      <c r="AD37" s="2575"/>
      <c r="AE37" s="2575"/>
      <c r="AF37" s="2575"/>
      <c r="AG37" s="2575"/>
      <c r="AH37" s="2575"/>
      <c r="AI37" s="2575"/>
      <c r="AJ37" s="2575"/>
      <c r="AK37" s="2575"/>
      <c r="AS37" s="1071">
        <v>14</v>
      </c>
    </row>
    <row r="38" spans="1:45" ht="14.65" customHeight="1">
      <c r="Q38" s="312"/>
      <c r="R38" s="312"/>
      <c r="S38" s="2435" t="s">
        <v>299</v>
      </c>
      <c r="T38" s="2435"/>
      <c r="U38" s="2435"/>
      <c r="V38" s="2435"/>
      <c r="W38" s="2435"/>
      <c r="X38" s="2435"/>
      <c r="Y38" s="2435"/>
      <c r="Z38" s="2435"/>
      <c r="AA38" s="2435"/>
      <c r="AB38" s="2435"/>
      <c r="AC38" s="2435"/>
      <c r="AD38" s="2435"/>
      <c r="AE38" s="2435"/>
      <c r="AF38" s="2435"/>
      <c r="AG38" s="2435"/>
      <c r="AH38" s="2435"/>
      <c r="AI38" s="2435"/>
      <c r="AJ38" s="2435"/>
      <c r="AK38" s="2435"/>
      <c r="AL38" s="2435"/>
      <c r="AM38" s="2435" t="s">
        <v>300</v>
      </c>
      <c r="AS38" s="1071">
        <v>14</v>
      </c>
    </row>
    <row r="39" spans="1:45" ht="14.65" customHeight="1">
      <c r="Q39" s="312"/>
      <c r="R39" s="312"/>
      <c r="S39" s="2576" t="s">
        <v>88</v>
      </c>
      <c r="T39" s="2524" t="s">
        <v>427</v>
      </c>
      <c r="U39" s="238"/>
      <c r="V39" s="2577" t="s">
        <v>428</v>
      </c>
      <c r="W39" s="2578"/>
      <c r="X39" s="2578"/>
      <c r="Y39" s="2578"/>
      <c r="Z39" s="2578"/>
      <c r="AA39" s="2578"/>
      <c r="AB39" s="2579"/>
      <c r="AC39" s="2580" t="s">
        <v>429</v>
      </c>
      <c r="AD39" s="2577" t="s">
        <v>428</v>
      </c>
      <c r="AE39" s="2578"/>
      <c r="AF39" s="2578"/>
      <c r="AG39" s="2578"/>
      <c r="AH39" s="2578"/>
      <c r="AI39" s="2578"/>
      <c r="AJ39" s="2579"/>
      <c r="AK39" s="2580" t="s">
        <v>430</v>
      </c>
      <c r="AL39" s="2583" t="s">
        <v>431</v>
      </c>
      <c r="AM39" s="2435"/>
      <c r="AS39" s="1071">
        <v>14</v>
      </c>
    </row>
    <row r="40" spans="1:45" ht="35.65" customHeight="1">
      <c r="Q40" s="312"/>
      <c r="R40" s="312"/>
      <c r="S40" s="2576"/>
      <c r="T40" s="2524"/>
      <c r="U40" s="953"/>
      <c r="V40" s="2494" t="s">
        <v>432</v>
      </c>
      <c r="W40" s="2572"/>
      <c r="X40" s="2417" t="s">
        <v>434</v>
      </c>
      <c r="Y40" s="2416"/>
      <c r="Z40" s="2417" t="s">
        <v>435</v>
      </c>
      <c r="AA40" s="2422"/>
      <c r="AB40" s="2416"/>
      <c r="AC40" s="2581"/>
      <c r="AD40" s="2494" t="s">
        <v>449</v>
      </c>
      <c r="AE40" s="2572"/>
      <c r="AF40" s="2417" t="s">
        <v>434</v>
      </c>
      <c r="AG40" s="2416"/>
      <c r="AH40" s="2417" t="s">
        <v>435</v>
      </c>
      <c r="AI40" s="2422"/>
      <c r="AJ40" s="2416"/>
      <c r="AK40" s="2581"/>
      <c r="AL40" s="2584"/>
      <c r="AM40" s="2435"/>
      <c r="AS40" s="1071">
        <v>34</v>
      </c>
    </row>
    <row r="41" spans="1:45" ht="35.65" customHeight="1">
      <c r="A41" s="1286"/>
      <c r="B41" s="1286" t="s">
        <v>136</v>
      </c>
      <c r="C41" s="1286" t="s">
        <v>137</v>
      </c>
      <c r="D41" s="1286" t="s">
        <v>138</v>
      </c>
      <c r="E41" s="1280" t="s">
        <v>436</v>
      </c>
      <c r="F41" s="1280" t="s">
        <v>437</v>
      </c>
      <c r="G41" s="1280" t="s">
        <v>438</v>
      </c>
      <c r="H41" s="1280" t="s">
        <v>439</v>
      </c>
      <c r="I41" s="1280" t="s">
        <v>440</v>
      </c>
      <c r="J41" s="1280" t="s">
        <v>441</v>
      </c>
      <c r="K41" s="1280" t="s">
        <v>442</v>
      </c>
      <c r="L41" s="1280" t="s">
        <v>417</v>
      </c>
      <c r="Q41" s="312"/>
      <c r="R41" s="312"/>
      <c r="S41" s="2576"/>
      <c r="T41" s="2524"/>
      <c r="U41" s="239"/>
      <c r="V41" s="2549"/>
      <c r="W41" s="2573"/>
      <c r="X41" s="1138" t="s">
        <v>443</v>
      </c>
      <c r="Y41" s="1138" t="s">
        <v>444</v>
      </c>
      <c r="Z41" s="1254" t="s">
        <v>445</v>
      </c>
      <c r="AA41" s="2529" t="s">
        <v>446</v>
      </c>
      <c r="AB41" s="2543"/>
      <c r="AC41" s="2582"/>
      <c r="AD41" s="2549"/>
      <c r="AE41" s="2573"/>
      <c r="AF41" s="1138" t="s">
        <v>443</v>
      </c>
      <c r="AG41" s="1138" t="s">
        <v>444</v>
      </c>
      <c r="AH41" s="1254" t="s">
        <v>445</v>
      </c>
      <c r="AI41" s="2529" t="s">
        <v>446</v>
      </c>
      <c r="AJ41" s="2543"/>
      <c r="AK41" s="2582"/>
      <c r="AL41" s="2585"/>
      <c r="AM41" s="2435"/>
      <c r="AS41" s="1071">
        <v>34</v>
      </c>
    </row>
    <row r="42" spans="1:45" s="233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109</v>
      </c>
      <c r="T42" s="1171" t="s">
        <v>110</v>
      </c>
      <c r="U42" s="1161" t="str">
        <f ca="1">OFFSET(U42,0,-1)</f>
        <v>2</v>
      </c>
      <c r="V42" s="1251">
        <f ca="1">OFFSET(V42,0,-1)+1</f>
        <v>3</v>
      </c>
      <c r="W42" s="1251"/>
      <c r="X42" s="1251">
        <f ca="1">OFFSET(X42,0,-1)+1</f>
        <v>1</v>
      </c>
      <c r="Y42" s="1251">
        <f ca="1">OFFSET(Y42,0,-1)+1</f>
        <v>2</v>
      </c>
      <c r="Z42" s="1251">
        <f ca="1">OFFSET(Z42,0,-1)+1</f>
        <v>3</v>
      </c>
      <c r="AA42" s="2574">
        <f ca="1">OFFSET(AA42,0,-1)+1</f>
        <v>4</v>
      </c>
      <c r="AB42" s="2574"/>
      <c r="AC42" s="1251">
        <f ca="1">OFFSET(AC42,0,-2)+1</f>
        <v>5</v>
      </c>
      <c r="AD42" s="1251">
        <f ca="1">OFFSET(AD42,0,-1)+1</f>
        <v>6</v>
      </c>
      <c r="AE42" s="1251"/>
      <c r="AF42" s="1251">
        <f ca="1">OFFSET(AF42,0,-1)+1</f>
        <v>1</v>
      </c>
      <c r="AG42" s="1251">
        <f ca="1">OFFSET(AG42,0,-1)+1</f>
        <v>2</v>
      </c>
      <c r="AH42" s="1251">
        <f ca="1">OFFSET(AH42,0,-1)+1</f>
        <v>3</v>
      </c>
      <c r="AI42" s="2574">
        <f ca="1">OFFSET(AI42,0,-1)+1</f>
        <v>4</v>
      </c>
      <c r="AJ42" s="2574"/>
      <c r="AK42" s="1251">
        <f ca="1">OFFSET(AK42,0,-2)+1</f>
        <v>5</v>
      </c>
      <c r="AL42" s="1161">
        <f ca="1">OFFSET(AL42,0,-1)</f>
        <v>5</v>
      </c>
      <c r="AM42" s="1251">
        <f ca="1">OFFSET(AM42,0,-1)+1</f>
        <v>6</v>
      </c>
      <c r="AN42" s="447"/>
      <c r="AO42" s="447"/>
      <c r="AP42" s="447"/>
      <c r="AQ42" s="447"/>
      <c r="AR42" s="447"/>
      <c r="AS42" s="432">
        <v>0</v>
      </c>
    </row>
    <row r="43" spans="1:45" ht="21.95" customHeight="1">
      <c r="A43" s="1279" t="s">
        <v>169</v>
      </c>
      <c r="B43" s="1279"/>
      <c r="C43" s="1279"/>
      <c r="D43" s="1279"/>
      <c r="E43" s="2563">
        <v>1</v>
      </c>
      <c r="F43" s="1279"/>
      <c r="G43" s="1279"/>
      <c r="H43" s="1279"/>
      <c r="I43" s="1279"/>
      <c r="J43" s="1279"/>
      <c r="K43" s="1279"/>
      <c r="L43" s="1280"/>
      <c r="M43" s="1281"/>
      <c r="N43" s="1281"/>
      <c r="O43" s="1281"/>
      <c r="P43" s="297"/>
      <c r="Q43" s="296"/>
      <c r="R43" s="291"/>
      <c r="S43" s="1252">
        <f>INDEX(PT_DIFFERENTIATION_NUM_NTAR,MATCH(A43,PT_DIFFERENTIATION_NTAR_ID,0))</f>
        <v>0</v>
      </c>
      <c r="T43" s="235" t="s">
        <v>124</v>
      </c>
      <c r="U43" s="237"/>
      <c r="V43" s="2557"/>
      <c r="W43" s="2558"/>
      <c r="X43" s="2558"/>
      <c r="Y43" s="2558"/>
      <c r="Z43" s="2558"/>
      <c r="AA43" s="2558"/>
      <c r="AB43" s="2558"/>
      <c r="AC43" s="2559"/>
      <c r="AD43" s="2557" t="str">
        <f>INDEX(PT_DIFFERENTIATION_NTAR,MATCH(A43,PT_DIFFERENTIATION_NTAR_ID,0))</f>
        <v/>
      </c>
      <c r="AE43" s="2558"/>
      <c r="AF43" s="2558"/>
      <c r="AG43" s="2558"/>
      <c r="AH43" s="2558"/>
      <c r="AI43" s="2558"/>
      <c r="AJ43" s="2558"/>
      <c r="AK43" s="2558"/>
      <c r="AL43" s="2559"/>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169</v>
      </c>
      <c r="B44" s="1279" t="s">
        <v>170</v>
      </c>
      <c r="C44" s="1279"/>
      <c r="D44" s="1279"/>
      <c r="E44" s="2564"/>
      <c r="F44" s="2563">
        <v>1</v>
      </c>
      <c r="G44" s="1279"/>
      <c r="H44" s="1279"/>
      <c r="I44" s="1279"/>
      <c r="J44" s="1279"/>
      <c r="K44" s="1279"/>
      <c r="L44" s="1280"/>
      <c r="M44" s="1281"/>
      <c r="N44" s="1281"/>
      <c r="O44" s="1281"/>
      <c r="P44" s="1248"/>
      <c r="Q44" s="288"/>
      <c r="R44" s="289"/>
      <c r="S44" s="1252" t="str">
        <f>INDEX(PT_DIFFERENTIATION_NUM_TER,MATCH(B44,PT_DIFFERENTIATION_TER_ID,0))</f>
        <v>.</v>
      </c>
      <c r="T44" s="245" t="s">
        <v>396</v>
      </c>
      <c r="U44" s="237"/>
      <c r="V44" s="2557"/>
      <c r="W44" s="2558"/>
      <c r="X44" s="2558"/>
      <c r="Y44" s="2558"/>
      <c r="Z44" s="2558"/>
      <c r="AA44" s="2558"/>
      <c r="AB44" s="2558"/>
      <c r="AC44" s="2559"/>
      <c r="AD44" s="2557" t="str">
        <f>INDEX(PT_DIFFERENTIATION_TER,MATCH(B44,PT_DIFFERENTIATION_TER_ID,0))</f>
        <v/>
      </c>
      <c r="AE44" s="2558"/>
      <c r="AF44" s="2558"/>
      <c r="AG44" s="2558"/>
      <c r="AH44" s="2558"/>
      <c r="AI44" s="2558"/>
      <c r="AJ44" s="2558"/>
      <c r="AK44" s="2558"/>
      <c r="AL44" s="2559"/>
      <c r="AM44" s="1174" t="s">
        <v>397</v>
      </c>
      <c r="AO44" s="436"/>
      <c r="AP44" s="436" t="str">
        <f t="shared" si="1"/>
        <v>Территория действия тарифа</v>
      </c>
      <c r="AQ44" s="436"/>
      <c r="AR44" s="436"/>
      <c r="AS44" s="1071">
        <v>21</v>
      </c>
    </row>
    <row r="45" spans="1:45" ht="24" customHeight="1">
      <c r="A45" s="1279" t="s">
        <v>169</v>
      </c>
      <c r="B45" s="1279" t="s">
        <v>170</v>
      </c>
      <c r="C45" s="1279" t="s">
        <v>171</v>
      </c>
      <c r="D45" s="1279"/>
      <c r="E45" s="2564"/>
      <c r="F45" s="2564"/>
      <c r="G45" s="2563">
        <v>1</v>
      </c>
      <c r="H45" s="1279"/>
      <c r="I45" s="1279"/>
      <c r="J45" s="1279"/>
      <c r="K45" s="1279"/>
      <c r="L45" s="1280"/>
      <c r="M45" s="1281"/>
      <c r="N45" s="1281"/>
      <c r="O45" s="1281"/>
      <c r="P45" s="290"/>
      <c r="Q45" s="288"/>
      <c r="R45" s="289"/>
      <c r="S45" s="1252" t="str">
        <f>INDEX(PT_DIFFERENTIATION_NUM_CS,MATCH(C45,PT_DIFFERENTIATION_CS_ID,0))</f>
        <v>..</v>
      </c>
      <c r="T45" s="246" t="s">
        <v>398</v>
      </c>
      <c r="U45" s="237"/>
      <c r="V45" s="2557"/>
      <c r="W45" s="2558"/>
      <c r="X45" s="2558"/>
      <c r="Y45" s="2558"/>
      <c r="Z45" s="2558"/>
      <c r="AA45" s="2558"/>
      <c r="AB45" s="2558"/>
      <c r="AC45" s="2559"/>
      <c r="AD45" s="2557" t="str">
        <f>INDEX(PT_DIFFERENTIATION_CS,MATCH(C45,PT_DIFFERENTIATION_CS_ID,0))</f>
        <v/>
      </c>
      <c r="AE45" s="2558"/>
      <c r="AF45" s="2558"/>
      <c r="AG45" s="2558"/>
      <c r="AH45" s="2558"/>
      <c r="AI45" s="2558"/>
      <c r="AJ45" s="2558"/>
      <c r="AK45" s="2558"/>
      <c r="AL45" s="2559"/>
      <c r="AM45" s="1174" t="s">
        <v>399</v>
      </c>
      <c r="AO45" s="436"/>
      <c r="AP45" s="436" t="str">
        <f t="shared" si="1"/>
        <v xml:space="preserve">Наименование системы теплоснабжения </v>
      </c>
      <c r="AQ45" s="436"/>
      <c r="AR45" s="436"/>
      <c r="AS45" s="1071">
        <v>23</v>
      </c>
    </row>
    <row r="46" spans="1:45" ht="21.95" customHeight="1">
      <c r="A46" s="1279" t="s">
        <v>169</v>
      </c>
      <c r="B46" s="1279" t="s">
        <v>170</v>
      </c>
      <c r="C46" s="1279" t="s">
        <v>171</v>
      </c>
      <c r="D46" s="1279" t="s">
        <v>172</v>
      </c>
      <c r="E46" s="2564"/>
      <c r="F46" s="2564"/>
      <c r="G46" s="2564"/>
      <c r="H46" s="2563">
        <v>1</v>
      </c>
      <c r="I46" s="1279"/>
      <c r="J46" s="1279"/>
      <c r="K46" s="1279"/>
      <c r="L46" s="1280"/>
      <c r="M46" s="1281"/>
      <c r="N46" s="1281"/>
      <c r="O46" s="1281"/>
      <c r="P46" s="290"/>
      <c r="Q46" s="288"/>
      <c r="R46" s="289"/>
      <c r="S46" s="1252" t="str">
        <f>INDEX(PT_DIFFERENTIATION_NUM_IST_TE,MATCH(D46,PT_DIFFERENTIATION_IST_TE_ID,0))</f>
        <v>...</v>
      </c>
      <c r="T46" s="247" t="s">
        <v>400</v>
      </c>
      <c r="U46" s="237"/>
      <c r="V46" s="2557"/>
      <c r="W46" s="2558"/>
      <c r="X46" s="2558"/>
      <c r="Y46" s="2558"/>
      <c r="Z46" s="2558"/>
      <c r="AA46" s="2558"/>
      <c r="AB46" s="2558"/>
      <c r="AC46" s="2559"/>
      <c r="AD46" s="2557" t="str">
        <f>INDEX(PT_DIFFERENTIATION_IST_TE,MATCH(D46,PT_DIFFERENTIATION_IST_TE_ID,0))</f>
        <v/>
      </c>
      <c r="AE46" s="2558"/>
      <c r="AF46" s="2558"/>
      <c r="AG46" s="2558"/>
      <c r="AH46" s="2558"/>
      <c r="AI46" s="2558"/>
      <c r="AJ46" s="2558"/>
      <c r="AK46" s="2558"/>
      <c r="AL46" s="2559"/>
      <c r="AM46" s="1174" t="s">
        <v>401</v>
      </c>
      <c r="AO46" s="436"/>
      <c r="AP46" s="436" t="str">
        <f t="shared" si="1"/>
        <v xml:space="preserve">Источник тепловой энергии  </v>
      </c>
      <c r="AQ46" s="436"/>
      <c r="AR46" s="436"/>
      <c r="AS46" s="1071">
        <v>21</v>
      </c>
    </row>
    <row r="47" spans="1:45" s="2344" customFormat="1" ht="0" hidden="1" customHeight="1">
      <c r="A47" s="1259" t="s">
        <v>169</v>
      </c>
      <c r="B47" s="1259" t="s">
        <v>170</v>
      </c>
      <c r="C47" s="1259" t="s">
        <v>171</v>
      </c>
      <c r="D47" s="1259" t="s">
        <v>172</v>
      </c>
      <c r="E47" s="2564"/>
      <c r="F47" s="2564"/>
      <c r="G47" s="2564"/>
      <c r="H47" s="2564"/>
      <c r="I47" s="2565" t="str">
        <f>S46&amp;".1"</f>
        <v>....1</v>
      </c>
      <c r="J47" s="1259"/>
      <c r="K47" s="1259"/>
      <c r="L47" s="1262" t="s">
        <v>402</v>
      </c>
      <c r="M47" s="446"/>
      <c r="N47" s="446"/>
      <c r="O47" s="446"/>
      <c r="P47" s="2567">
        <v>1</v>
      </c>
      <c r="Q47" s="1247"/>
      <c r="R47" s="292"/>
      <c r="S47" s="964"/>
      <c r="T47" s="1299"/>
      <c r="U47" s="1300"/>
      <c r="V47" s="2594"/>
      <c r="W47" s="2595"/>
      <c r="X47" s="2595"/>
      <c r="Y47" s="2595"/>
      <c r="Z47" s="2595"/>
      <c r="AA47" s="2595"/>
      <c r="AB47" s="2595"/>
      <c r="AC47" s="2596"/>
      <c r="AD47" s="2594"/>
      <c r="AE47" s="2595"/>
      <c r="AF47" s="2595"/>
      <c r="AG47" s="2595"/>
      <c r="AH47" s="2595"/>
      <c r="AI47" s="2595"/>
      <c r="AJ47" s="2595"/>
      <c r="AK47" s="2595"/>
      <c r="AL47" s="2596"/>
      <c r="AM47" s="1301"/>
      <c r="AO47" s="436"/>
      <c r="AP47" s="436" t="str">
        <f t="shared" si="1"/>
        <v/>
      </c>
      <c r="AQ47" s="436"/>
      <c r="AR47" s="436"/>
      <c r="AS47" s="447">
        <v>0</v>
      </c>
    </row>
    <row r="48" spans="1:45" ht="21.95" customHeight="1">
      <c r="A48" s="1279" t="s">
        <v>169</v>
      </c>
      <c r="B48" s="1279" t="s">
        <v>170</v>
      </c>
      <c r="C48" s="1279" t="s">
        <v>171</v>
      </c>
      <c r="D48" s="1279" t="s">
        <v>172</v>
      </c>
      <c r="E48" s="2564"/>
      <c r="F48" s="2564"/>
      <c r="G48" s="2564"/>
      <c r="H48" s="2564"/>
      <c r="I48" s="2566"/>
      <c r="J48" s="2565" t="str">
        <f>S46&amp;".1"</f>
        <v>....1</v>
      </c>
      <c r="K48" s="1279"/>
      <c r="L48" s="1280" t="s">
        <v>405</v>
      </c>
      <c r="P48" s="2567"/>
      <c r="Q48" s="2567">
        <v>1</v>
      </c>
      <c r="R48" s="293"/>
      <c r="S48" s="1252" t="str">
        <f>$J48</f>
        <v>....1</v>
      </c>
      <c r="T48" s="223" t="s">
        <v>406</v>
      </c>
      <c r="U48" s="237"/>
      <c r="V48" s="2551"/>
      <c r="W48" s="2552"/>
      <c r="X48" s="2552"/>
      <c r="Y48" s="2552"/>
      <c r="Z48" s="2552"/>
      <c r="AA48" s="2552"/>
      <c r="AB48" s="2552"/>
      <c r="AC48" s="2553"/>
      <c r="AD48" s="2551"/>
      <c r="AE48" s="2552"/>
      <c r="AF48" s="2552"/>
      <c r="AG48" s="2552"/>
      <c r="AH48" s="2552"/>
      <c r="AI48" s="2552"/>
      <c r="AJ48" s="2552"/>
      <c r="AK48" s="2552"/>
      <c r="AL48" s="2553"/>
      <c r="AM48" s="1174" t="s">
        <v>407</v>
      </c>
      <c r="AO48" s="436"/>
      <c r="AP48" s="436" t="str">
        <f t="shared" si="1"/>
        <v>Группа потребителей</v>
      </c>
      <c r="AQ48" s="436"/>
      <c r="AR48" s="436"/>
      <c r="AS48" s="1071">
        <v>21</v>
      </c>
    </row>
    <row r="49" spans="1:45" ht="21.95" customHeight="1">
      <c r="A49" s="1279" t="s">
        <v>169</v>
      </c>
      <c r="B49" s="1279" t="s">
        <v>170</v>
      </c>
      <c r="C49" s="1279" t="s">
        <v>171</v>
      </c>
      <c r="D49" s="1279" t="s">
        <v>172</v>
      </c>
      <c r="E49" s="2564"/>
      <c r="F49" s="2564"/>
      <c r="G49" s="2564"/>
      <c r="H49" s="2564"/>
      <c r="I49" s="2566"/>
      <c r="J49" s="2566"/>
      <c r="K49" s="2565" t="str">
        <f>J48&amp;".1"</f>
        <v>....1.1</v>
      </c>
      <c r="L49" s="1280" t="s">
        <v>408</v>
      </c>
      <c r="P49" s="2567"/>
      <c r="Q49" s="2567"/>
      <c r="R49" s="293">
        <v>1</v>
      </c>
      <c r="S49" s="1252" t="str">
        <f>$K49</f>
        <v>....1.1</v>
      </c>
      <c r="T49" s="1263"/>
      <c r="U49" s="237"/>
      <c r="V49" s="687"/>
      <c r="W49" s="262"/>
      <c r="X49" s="687"/>
      <c r="Y49" s="1173"/>
      <c r="Z49" s="2568"/>
      <c r="AA49" s="2445" t="s">
        <v>62</v>
      </c>
      <c r="AB49" s="2568"/>
      <c r="AC49" s="2445" t="s">
        <v>62</v>
      </c>
      <c r="AD49" s="687"/>
      <c r="AE49" s="262"/>
      <c r="AF49" s="687"/>
      <c r="AG49" s="1173"/>
      <c r="AH49" s="2568"/>
      <c r="AI49" s="2445" t="s">
        <v>62</v>
      </c>
      <c r="AJ49" s="2570"/>
      <c r="AK49" s="2445" t="s">
        <v>62</v>
      </c>
      <c r="AL49" s="1264"/>
      <c r="AM49" s="2586" t="s">
        <v>450</v>
      </c>
      <c r="AN49" s="447" t="e">
        <f ca="1">STRCHECKDATE(V50:AL50)</f>
        <v>#NAME?</v>
      </c>
      <c r="AO49" s="436"/>
      <c r="AP49" s="436" t="str">
        <f t="shared" si="1"/>
        <v/>
      </c>
      <c r="AQ49" s="436"/>
      <c r="AR49" s="436"/>
      <c r="AS49" s="1071">
        <v>21</v>
      </c>
    </row>
    <row r="50" spans="1:45" ht="1.1499999999999999" customHeight="1">
      <c r="A50" s="1279" t="s">
        <v>169</v>
      </c>
      <c r="B50" s="1279" t="s">
        <v>170</v>
      </c>
      <c r="C50" s="1279" t="s">
        <v>171</v>
      </c>
      <c r="D50" s="1279" t="s">
        <v>172</v>
      </c>
      <c r="E50" s="2564"/>
      <c r="F50" s="2564"/>
      <c r="G50" s="2564"/>
      <c r="H50" s="2564"/>
      <c r="I50" s="2566"/>
      <c r="J50" s="2566"/>
      <c r="K50" s="2565"/>
      <c r="L50" s="1280"/>
      <c r="P50" s="2567"/>
      <c r="Q50" s="2567"/>
      <c r="R50" s="293"/>
      <c r="S50" s="1258"/>
      <c r="T50" s="237"/>
      <c r="U50" s="237"/>
      <c r="V50" s="262"/>
      <c r="W50" s="262"/>
      <c r="X50" s="262"/>
      <c r="Y50" s="265" t="str">
        <f>Z49&amp;"-"&amp;AB49</f>
        <v>-</v>
      </c>
      <c r="Z50" s="2569"/>
      <c r="AA50" s="2445"/>
      <c r="AB50" s="2569"/>
      <c r="AC50" s="2445"/>
      <c r="AD50" s="262"/>
      <c r="AE50" s="262"/>
      <c r="AF50" s="262"/>
      <c r="AG50" s="265" t="str">
        <f>AH49&amp;"-"&amp;AJ49</f>
        <v>-</v>
      </c>
      <c r="AH50" s="2569"/>
      <c r="AI50" s="2445"/>
      <c r="AJ50" s="2571"/>
      <c r="AK50" s="2445"/>
      <c r="AL50" s="1265"/>
      <c r="AM50" s="2587"/>
      <c r="AO50" s="436"/>
      <c r="AP50" s="436" t="str">
        <f t="shared" si="1"/>
        <v/>
      </c>
      <c r="AQ50" s="436"/>
      <c r="AR50" s="436"/>
      <c r="AS50" s="1071">
        <v>1</v>
      </c>
    </row>
    <row r="51" spans="1:45" ht="11.45" customHeight="1">
      <c r="A51" s="1279" t="s">
        <v>169</v>
      </c>
      <c r="B51" s="1279" t="s">
        <v>170</v>
      </c>
      <c r="C51" s="1279" t="s">
        <v>171</v>
      </c>
      <c r="D51" s="1279" t="s">
        <v>172</v>
      </c>
      <c r="E51" s="2564"/>
      <c r="F51" s="2564"/>
      <c r="G51" s="2564"/>
      <c r="H51" s="2564"/>
      <c r="I51" s="2566"/>
      <c r="J51" s="2565"/>
      <c r="K51" s="1279"/>
      <c r="L51" s="1280"/>
      <c r="P51" s="2567"/>
      <c r="Q51" s="2567"/>
      <c r="R51" s="292"/>
      <c r="S51" s="1194"/>
      <c r="T51" s="224" t="s">
        <v>410</v>
      </c>
      <c r="U51" s="303"/>
      <c r="V51" s="303"/>
      <c r="W51" s="303"/>
      <c r="X51" s="303"/>
      <c r="Y51" s="303"/>
      <c r="Z51" s="303"/>
      <c r="AA51" s="303"/>
      <c r="AB51" s="303"/>
      <c r="AC51" s="303"/>
      <c r="AD51" s="303"/>
      <c r="AE51" s="303"/>
      <c r="AF51" s="303"/>
      <c r="AG51" s="303"/>
      <c r="AH51" s="303"/>
      <c r="AI51" s="303"/>
      <c r="AJ51" s="303"/>
      <c r="AK51" s="303"/>
      <c r="AL51" s="261"/>
      <c r="AM51" s="2588"/>
      <c r="AO51" s="436"/>
      <c r="AP51" s="436" t="str">
        <f t="shared" si="1"/>
        <v>Добавить вид теплоносителя (параметры теплоносителя)</v>
      </c>
      <c r="AQ51" s="436"/>
      <c r="AR51" s="436"/>
      <c r="AS51" s="1071">
        <v>11</v>
      </c>
    </row>
    <row r="52" spans="1:45" ht="11.45" customHeight="1">
      <c r="A52" s="1279" t="s">
        <v>169</v>
      </c>
      <c r="B52" s="1279" t="s">
        <v>170</v>
      </c>
      <c r="C52" s="1279" t="s">
        <v>171</v>
      </c>
      <c r="D52" s="1279" t="s">
        <v>172</v>
      </c>
      <c r="E52" s="2564"/>
      <c r="F52" s="2564"/>
      <c r="G52" s="2564"/>
      <c r="H52" s="2564"/>
      <c r="I52" s="2565"/>
      <c r="J52" s="1279"/>
      <c r="K52" s="1279"/>
      <c r="L52" s="1280"/>
      <c r="P52" s="2567"/>
      <c r="Q52" s="1247"/>
      <c r="R52" s="292"/>
      <c r="S52" s="119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169</v>
      </c>
      <c r="B53" s="1279" t="s">
        <v>170</v>
      </c>
      <c r="C53" s="1279" t="s">
        <v>171</v>
      </c>
      <c r="D53" s="1279" t="s">
        <v>172</v>
      </c>
      <c r="E53" s="2564"/>
      <c r="F53" s="2564"/>
      <c r="G53" s="2564"/>
      <c r="H53" s="2563"/>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344" customFormat="1" ht="1.1499999999999999" customHeight="1">
      <c r="A54" s="1259" t="s">
        <v>169</v>
      </c>
      <c r="B54" s="1259" t="s">
        <v>170</v>
      </c>
      <c r="C54" s="1259" t="s">
        <v>171</v>
      </c>
      <c r="D54" s="1230"/>
      <c r="E54" s="2564"/>
      <c r="F54" s="2564"/>
      <c r="G54" s="2563"/>
      <c r="H54" s="1230"/>
      <c r="I54" s="1230"/>
      <c r="J54" s="1230"/>
      <c r="K54" s="1230"/>
      <c r="L54" s="1255"/>
      <c r="M54" s="1231"/>
      <c r="N54" s="1231"/>
      <c r="P54" s="1232"/>
      <c r="Q54" s="1233"/>
      <c r="R54" s="1232"/>
      <c r="S54" s="1238"/>
      <c r="T54" s="1241" t="s">
        <v>413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344" customFormat="1" ht="1.1499999999999999" customHeight="1">
      <c r="A55" s="1259" t="s">
        <v>169</v>
      </c>
      <c r="B55" s="1259" t="s">
        <v>170</v>
      </c>
      <c r="C55" s="1230"/>
      <c r="D55" s="1230"/>
      <c r="E55" s="2564"/>
      <c r="F55" s="2563"/>
      <c r="G55" s="1230"/>
      <c r="H55" s="1230"/>
      <c r="I55" s="1230"/>
      <c r="J55" s="1230"/>
      <c r="K55" s="1230"/>
      <c r="L55" s="1255"/>
      <c r="M55" s="1237"/>
      <c r="N55" s="1237"/>
      <c r="P55" s="1232"/>
      <c r="Q55" s="1233"/>
      <c r="R55" s="1232"/>
      <c r="S55" s="1238"/>
      <c r="T55" s="1241" t="s">
        <v>414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344" customFormat="1" ht="1.1499999999999999" customHeight="1">
      <c r="A56" s="1259" t="s">
        <v>169</v>
      </c>
      <c r="B56" s="1259"/>
      <c r="C56" s="1259"/>
      <c r="D56" s="1259"/>
      <c r="E56" s="2563"/>
      <c r="F56" s="1259"/>
      <c r="G56" s="1259"/>
      <c r="H56" s="1259"/>
      <c r="I56" s="1259"/>
      <c r="J56" s="1259"/>
      <c r="K56" s="1259"/>
      <c r="L56" s="1262"/>
      <c r="M56" s="1237"/>
      <c r="N56" s="1237"/>
      <c r="O56" s="454"/>
      <c r="P56" s="316"/>
      <c r="Q56" s="1260"/>
      <c r="R56" s="316"/>
      <c r="S56" s="1238"/>
      <c r="T56" s="1241" t="s">
        <v>415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344"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19.899999999999999" customHeight="1">
      <c r="O59" s="473"/>
      <c r="S59" s="1169"/>
      <c r="T59" s="2562"/>
      <c r="U59" s="2562"/>
      <c r="V59" s="2562"/>
      <c r="W59" s="2562"/>
      <c r="X59" s="2562"/>
      <c r="Y59" s="2562"/>
      <c r="Z59" s="2562"/>
      <c r="AA59" s="2562"/>
      <c r="AB59" s="2562"/>
      <c r="AC59" s="2562"/>
      <c r="AD59" s="2562"/>
      <c r="AE59" s="2562"/>
      <c r="AF59" s="2562"/>
      <c r="AG59" s="2562"/>
      <c r="AH59" s="2562"/>
      <c r="AI59" s="2562"/>
      <c r="AJ59" s="2562"/>
      <c r="AK59" s="2562"/>
      <c r="AL59" s="2562"/>
      <c r="AM59" s="2562"/>
      <c r="AS59" s="1071">
        <v>19</v>
      </c>
    </row>
    <row r="60" spans="1:45" ht="29.25" customHeight="1">
      <c r="O60" s="473"/>
      <c r="T60" s="2562"/>
      <c r="U60" s="2562"/>
      <c r="V60" s="2562"/>
      <c r="W60" s="2562"/>
      <c r="X60" s="2562"/>
      <c r="Y60" s="2562"/>
      <c r="Z60" s="2562"/>
      <c r="AA60" s="2562"/>
      <c r="AB60" s="2562"/>
      <c r="AC60" s="2562"/>
      <c r="AD60" s="2562"/>
      <c r="AE60" s="2562"/>
      <c r="AF60" s="2562"/>
      <c r="AG60" s="2562"/>
      <c r="AH60" s="2562"/>
      <c r="AI60" s="2562"/>
      <c r="AJ60" s="2562"/>
      <c r="AK60" s="2562"/>
      <c r="AL60" s="2562"/>
      <c r="AM60" s="2562"/>
      <c r="AS60" s="1071">
        <v>28</v>
      </c>
    </row>
    <row r="61" spans="1:45" ht="42" customHeight="1">
      <c r="O61" s="473"/>
      <c r="T61" s="2562"/>
      <c r="U61" s="2562"/>
      <c r="V61" s="2562"/>
      <c r="W61" s="2562"/>
      <c r="X61" s="2562"/>
      <c r="Y61" s="2562"/>
      <c r="Z61" s="2562"/>
      <c r="AA61" s="2562"/>
      <c r="AB61" s="2562"/>
      <c r="AC61" s="2562"/>
      <c r="AD61" s="2562"/>
      <c r="AE61" s="2562"/>
      <c r="AF61" s="2562"/>
      <c r="AG61" s="2562"/>
      <c r="AH61" s="2562"/>
      <c r="AI61" s="2562"/>
      <c r="AJ61" s="2562"/>
      <c r="AK61" s="2562"/>
      <c r="AL61" s="2562"/>
      <c r="AM61" s="2562"/>
      <c r="AS61" s="1071">
        <v>40</v>
      </c>
    </row>
    <row r="62" spans="1:45" ht="14.65" customHeight="1">
      <c r="O62" s="473"/>
      <c r="AS62" s="1071">
        <v>14</v>
      </c>
    </row>
    <row r="63" spans="1:45" ht="21" customHeight="1">
      <c r="O63" s="473"/>
      <c r="S63" s="1169"/>
      <c r="T63" s="2475"/>
      <c r="U63" s="2562"/>
      <c r="V63" s="2562"/>
      <c r="W63" s="2562"/>
      <c r="X63" s="2562"/>
      <c r="Y63" s="2562"/>
      <c r="Z63" s="2562"/>
      <c r="AA63" s="2562"/>
      <c r="AB63" s="2562"/>
      <c r="AC63" s="2562"/>
      <c r="AD63" s="2562"/>
      <c r="AE63" s="2562"/>
      <c r="AF63" s="2562"/>
      <c r="AG63" s="2562"/>
      <c r="AH63" s="2562"/>
      <c r="AI63" s="2562"/>
      <c r="AJ63" s="2562"/>
      <c r="AK63" s="2562"/>
      <c r="AL63" s="2562"/>
      <c r="AM63" s="2562"/>
      <c r="AS63" s="1071">
        <v>20</v>
      </c>
    </row>
    <row r="64" spans="1:45" ht="29.25" customHeight="1">
      <c r="O64" s="473"/>
      <c r="T64" s="2562"/>
      <c r="U64" s="2562"/>
      <c r="V64" s="2562"/>
      <c r="W64" s="2562"/>
      <c r="X64" s="2562"/>
      <c r="Y64" s="2562"/>
      <c r="Z64" s="2562"/>
      <c r="AA64" s="2562"/>
      <c r="AB64" s="2562"/>
      <c r="AC64" s="2562"/>
      <c r="AD64" s="2562"/>
      <c r="AE64" s="2562"/>
      <c r="AF64" s="2562"/>
      <c r="AG64" s="2562"/>
      <c r="AH64" s="2562"/>
      <c r="AI64" s="2562"/>
      <c r="AJ64" s="2562"/>
      <c r="AK64" s="2562"/>
      <c r="AL64" s="2562"/>
      <c r="AM64" s="2562"/>
      <c r="AS64" s="1071">
        <v>28</v>
      </c>
    </row>
    <row r="65" spans="1:45" ht="35.65" customHeight="1">
      <c r="T65" s="2562"/>
      <c r="U65" s="2562"/>
      <c r="V65" s="2562"/>
      <c r="W65" s="2562"/>
      <c r="X65" s="2562"/>
      <c r="Y65" s="2562"/>
      <c r="Z65" s="2562"/>
      <c r="AA65" s="2562"/>
      <c r="AB65" s="2562"/>
      <c r="AC65" s="2562"/>
      <c r="AD65" s="2562"/>
      <c r="AE65" s="2562"/>
      <c r="AF65" s="2562"/>
      <c r="AG65" s="2562"/>
      <c r="AH65" s="2562"/>
      <c r="AI65" s="2562"/>
      <c r="AJ65" s="2562"/>
      <c r="AK65" s="2562"/>
      <c r="AL65" s="2562"/>
      <c r="AM65" s="2562"/>
      <c r="AS65" s="1071">
        <v>34</v>
      </c>
    </row>
    <row r="66" spans="1:45" ht="22.5" hidden="1" customHeight="1">
      <c r="A66" s="1076" t="s">
        <v>82</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7109375" style="2392" hidden="1" customWidth="1"/>
    <col min="17" max="18" width="3" style="2359" customWidth="1"/>
    <col min="19" max="19" width="12" style="2387" customWidth="1"/>
    <col min="20" max="20" width="31" style="2360" customWidth="1"/>
    <col min="21" max="21" width="0.140625" style="2360" customWidth="1"/>
    <col min="22" max="22" width="24.7109375" style="2360" hidden="1" customWidth="1"/>
    <col min="23" max="23" width="0.140625" style="2360" hidden="1" customWidth="1"/>
    <col min="24" max="25" width="24.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24.7109375" style="2360" customWidth="1"/>
    <col min="31" max="31" width="0.140625" style="2360" customWidth="1"/>
    <col min="32" max="33" width="24" style="2360" customWidth="1"/>
    <col min="34" max="34" width="11" style="2360" customWidth="1"/>
    <col min="35" max="35" width="3.7109375" style="2360" customWidth="1"/>
    <col min="36" max="36" width="11" style="2360" customWidth="1"/>
    <col min="37" max="37" width="8.5703125" style="2360" hidden="1" customWidth="1"/>
    <col min="38" max="38" width="4" style="2360" customWidth="1"/>
    <col min="39" max="39" width="115" style="2360" customWidth="1"/>
    <col min="40" max="44" width="10" style="2344" customWidth="1"/>
    <col min="45" max="45" width="10.5703125" style="2360" hidden="1"/>
  </cols>
  <sheetData>
    <row r="1" spans="1:45" ht="22.5" hidden="1" customHeight="1">
      <c r="A1" s="1783"/>
      <c r="Y1" s="264"/>
      <c r="Z1" s="264"/>
      <c r="AG1" s="264"/>
      <c r="AH1" s="264"/>
      <c r="AS1" s="1071" t="s">
        <v>14</v>
      </c>
    </row>
    <row r="2" spans="1:45" ht="21" hidden="1" customHeight="1">
      <c r="A2" s="1279"/>
      <c r="B2" s="1279"/>
      <c r="C2" s="1279"/>
      <c r="D2" s="1279"/>
      <c r="E2" s="2563">
        <v>1</v>
      </c>
      <c r="F2" s="1279"/>
      <c r="G2" s="1279"/>
      <c r="H2" s="1279"/>
      <c r="I2" s="1279"/>
      <c r="J2" s="1279"/>
      <c r="K2" s="1279"/>
      <c r="L2" s="1280"/>
      <c r="M2" s="1281"/>
      <c r="N2" s="1281"/>
      <c r="O2" s="1281"/>
      <c r="P2" s="297"/>
      <c r="Q2" s="296"/>
      <c r="R2" s="291"/>
      <c r="S2" s="1252" t="e">
        <f>INDEX(PT_DIFFERENTIATION_NUM_NTAR,MATCH(A2,PT_DIFFERENTIATION_NTAR_ID,0))</f>
        <v>#N/A</v>
      </c>
      <c r="T2" s="235" t="s">
        <v>124</v>
      </c>
      <c r="U2" s="237"/>
      <c r="V2" s="2557"/>
      <c r="W2" s="2558"/>
      <c r="X2" s="2558"/>
      <c r="Y2" s="2558"/>
      <c r="Z2" s="2558"/>
      <c r="AA2" s="2558"/>
      <c r="AB2" s="2558"/>
      <c r="AC2" s="2559"/>
      <c r="AD2" s="2557" t="e">
        <f>INDEX(PT_DIFFERENTIATION_NTAR,MATCH(A2,PT_DIFFERENTIATION_NTAR_ID,0))</f>
        <v>#N/A</v>
      </c>
      <c r="AE2" s="2558"/>
      <c r="AF2" s="2558"/>
      <c r="AG2" s="2558"/>
      <c r="AH2" s="2558"/>
      <c r="AI2" s="2558"/>
      <c r="AJ2" s="2558"/>
      <c r="AK2" s="2558"/>
      <c r="AL2" s="2559"/>
      <c r="AM2" s="1174" t="s">
        <v>395</v>
      </c>
      <c r="AO2" s="436"/>
      <c r="AP2" s="436" t="str">
        <f t="shared" ref="AP2:AP15" si="0">IF(T2="","",T2)</f>
        <v>Наименование тарифа</v>
      </c>
      <c r="AQ2" s="436"/>
      <c r="AR2" s="436"/>
      <c r="AS2" s="1071">
        <v>0</v>
      </c>
    </row>
    <row r="3" spans="1:45" ht="21" hidden="1" customHeight="1">
      <c r="A3" s="1279"/>
      <c r="B3" s="1279"/>
      <c r="C3" s="1279"/>
      <c r="D3" s="1279"/>
      <c r="E3" s="2564"/>
      <c r="F3" s="2563">
        <v>1</v>
      </c>
      <c r="G3" s="1279"/>
      <c r="H3" s="1279"/>
      <c r="I3" s="1279"/>
      <c r="J3" s="1279"/>
      <c r="K3" s="1279"/>
      <c r="L3" s="1280"/>
      <c r="M3" s="1281"/>
      <c r="N3" s="1281"/>
      <c r="O3" s="1281"/>
      <c r="P3" s="1248"/>
      <c r="Q3" s="288"/>
      <c r="R3" s="289"/>
      <c r="S3" s="1252" t="e">
        <f>INDEX(PT_DIFFERENTIATION_NUM_TER,MATCH(B3,PT_DIFFERENTIATION_TER_ID,0))</f>
        <v>#N/A</v>
      </c>
      <c r="T3" s="245" t="s">
        <v>396</v>
      </c>
      <c r="U3" s="237"/>
      <c r="V3" s="2557"/>
      <c r="W3" s="2558"/>
      <c r="X3" s="2558"/>
      <c r="Y3" s="2558"/>
      <c r="Z3" s="2558"/>
      <c r="AA3" s="2558"/>
      <c r="AB3" s="2558"/>
      <c r="AC3" s="2559"/>
      <c r="AD3" s="2557" t="e">
        <f>INDEX(PT_DIFFERENTIATION_TER,MATCH(B3,PT_DIFFERENTIATION_TER_ID,0))</f>
        <v>#N/A</v>
      </c>
      <c r="AE3" s="2558"/>
      <c r="AF3" s="2558"/>
      <c r="AG3" s="2558"/>
      <c r="AH3" s="2558"/>
      <c r="AI3" s="2558"/>
      <c r="AJ3" s="2558"/>
      <c r="AK3" s="2558"/>
      <c r="AL3" s="2559"/>
      <c r="AM3" s="1174" t="s">
        <v>397</v>
      </c>
      <c r="AO3" s="436"/>
      <c r="AP3" s="436" t="str">
        <f t="shared" si="0"/>
        <v>Территория действия тарифа</v>
      </c>
      <c r="AQ3" s="436"/>
      <c r="AR3" s="436"/>
      <c r="AS3" s="1071">
        <v>0</v>
      </c>
    </row>
    <row r="4" spans="1:45" ht="23.25" hidden="1" customHeight="1">
      <c r="A4" s="1279"/>
      <c r="B4" s="1279"/>
      <c r="C4" s="1279"/>
      <c r="D4" s="1279"/>
      <c r="E4" s="2564"/>
      <c r="F4" s="2564"/>
      <c r="G4" s="2563">
        <v>1</v>
      </c>
      <c r="H4" s="1279"/>
      <c r="I4" s="1279"/>
      <c r="J4" s="1279"/>
      <c r="K4" s="1279"/>
      <c r="L4" s="1280"/>
      <c r="M4" s="1281"/>
      <c r="N4" s="1281"/>
      <c r="O4" s="1281"/>
      <c r="P4" s="290"/>
      <c r="Q4" s="288"/>
      <c r="R4" s="289"/>
      <c r="S4" s="1917" t="e">
        <f>INDEX(PT_DIFFERENTIATION_NUM_CS,MATCH(C4,PT_DIFFERENTIATION_CS_ID,0))</f>
        <v>#N/A</v>
      </c>
      <c r="T4" s="1921" t="s">
        <v>398</v>
      </c>
      <c r="U4" s="1922"/>
      <c r="V4" s="2599"/>
      <c r="W4" s="2600"/>
      <c r="X4" s="2600"/>
      <c r="Y4" s="2600"/>
      <c r="Z4" s="2600"/>
      <c r="AA4" s="2600"/>
      <c r="AB4" s="2600"/>
      <c r="AC4" s="2601"/>
      <c r="AD4" s="2599" t="e">
        <f>INDEX(PT_DIFFERENTIATION_CS,MATCH(C4,PT_DIFFERENTIATION_CS_ID,0))</f>
        <v>#N/A</v>
      </c>
      <c r="AE4" s="2600"/>
      <c r="AF4" s="2600"/>
      <c r="AG4" s="2600"/>
      <c r="AH4" s="2600"/>
      <c r="AI4" s="2600"/>
      <c r="AJ4" s="2600"/>
      <c r="AK4" s="2600"/>
      <c r="AL4" s="2601"/>
      <c r="AM4" s="1174" t="s">
        <v>399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564"/>
      <c r="F5" s="2564"/>
      <c r="G5" s="2564"/>
      <c r="H5" s="2563">
        <v>1</v>
      </c>
      <c r="I5" s="1279"/>
      <c r="J5" s="1279"/>
      <c r="K5" s="1279"/>
      <c r="L5" s="1280"/>
      <c r="M5" s="1281"/>
      <c r="N5" s="1281"/>
      <c r="O5" s="1281"/>
      <c r="P5" s="290"/>
      <c r="Q5" s="288"/>
      <c r="R5" s="1551"/>
      <c r="S5" s="1916" t="e">
        <f>INDEX(PT_DIFFERENTIATION_NUM_IST_TE,MATCH(D5,PT_DIFFERENTIATION_IST_TE_ID,0))</f>
        <v>#N/A</v>
      </c>
      <c r="T5" s="247" t="s">
        <v>400</v>
      </c>
      <c r="U5" s="237"/>
      <c r="V5" s="2602"/>
      <c r="W5" s="2602"/>
      <c r="X5" s="2602"/>
      <c r="Y5" s="2602"/>
      <c r="Z5" s="2602"/>
      <c r="AA5" s="2602"/>
      <c r="AB5" s="2602"/>
      <c r="AC5" s="2602"/>
      <c r="AD5" s="2602" t="e">
        <f>INDEX(PT_DIFFERENTIATION_IST_TE,MATCH(D5,PT_DIFFERENTIATION_IST_TE_ID,0))</f>
        <v>#N/A</v>
      </c>
      <c r="AE5" s="2602"/>
      <c r="AF5" s="2602"/>
      <c r="AG5" s="2602"/>
      <c r="AH5" s="2602"/>
      <c r="AI5" s="2602"/>
      <c r="AJ5" s="2602"/>
      <c r="AK5" s="2602"/>
      <c r="AL5" s="2602"/>
      <c r="AM5" s="1919" t="s">
        <v>401</v>
      </c>
      <c r="AO5" s="436"/>
      <c r="AP5" s="436" t="str">
        <f t="shared" si="0"/>
        <v xml:space="preserve">Источник тепловой энергии  </v>
      </c>
      <c r="AQ5" s="436"/>
      <c r="AR5" s="436"/>
      <c r="AS5" s="1071">
        <v>0</v>
      </c>
    </row>
    <row r="6" spans="1:45" ht="0.75" hidden="1" customHeight="1">
      <c r="A6" s="1279"/>
      <c r="B6" s="1279"/>
      <c r="C6" s="1279"/>
      <c r="D6" s="1279"/>
      <c r="E6" s="2564"/>
      <c r="F6" s="2564"/>
      <c r="G6" s="2564"/>
      <c r="H6" s="2564"/>
      <c r="I6" s="2565" t="e">
        <f>S5&amp;".1"</f>
        <v>#N/A</v>
      </c>
      <c r="J6" s="1279"/>
      <c r="K6" s="1279"/>
      <c r="L6" s="1280" t="s">
        <v>402</v>
      </c>
      <c r="M6" s="473"/>
      <c r="P6" s="2567">
        <v>1</v>
      </c>
      <c r="Q6" s="1247"/>
      <c r="R6" s="1915"/>
      <c r="S6" s="964"/>
      <c r="T6" s="1299"/>
      <c r="U6" s="1300"/>
      <c r="V6" s="2603"/>
      <c r="W6" s="2603"/>
      <c r="X6" s="2603"/>
      <c r="Y6" s="2603"/>
      <c r="Z6" s="2603"/>
      <c r="AA6" s="2603"/>
      <c r="AB6" s="2603"/>
      <c r="AC6" s="2603"/>
      <c r="AD6" s="2603"/>
      <c r="AE6" s="2603"/>
      <c r="AF6" s="2603"/>
      <c r="AG6" s="2603"/>
      <c r="AH6" s="2603"/>
      <c r="AI6" s="2603"/>
      <c r="AJ6" s="2603"/>
      <c r="AK6" s="2603"/>
      <c r="AL6" s="2603"/>
      <c r="AM6" s="1920"/>
      <c r="AO6" s="436"/>
      <c r="AP6" s="436" t="str">
        <f t="shared" si="0"/>
        <v/>
      </c>
      <c r="AQ6" s="436"/>
      <c r="AR6" s="436"/>
      <c r="AS6" s="1071">
        <v>0</v>
      </c>
    </row>
    <row r="7" spans="1:45" ht="84" hidden="1" customHeight="1">
      <c r="A7" s="1279"/>
      <c r="B7" s="1279"/>
      <c r="C7" s="1279"/>
      <c r="D7" s="1279"/>
      <c r="E7" s="2564"/>
      <c r="F7" s="2564"/>
      <c r="G7" s="2564"/>
      <c r="H7" s="2564"/>
      <c r="I7" s="2566"/>
      <c r="J7" s="2565" t="e">
        <f>I6&amp;".1"</f>
        <v>#N/A</v>
      </c>
      <c r="K7" s="1279"/>
      <c r="L7" s="1280" t="s">
        <v>405</v>
      </c>
      <c r="M7" s="473"/>
      <c r="N7" s="1282"/>
      <c r="P7" s="2567"/>
      <c r="Q7" s="2567">
        <v>1</v>
      </c>
      <c r="R7" s="1558"/>
      <c r="S7" s="1916" t="e">
        <f>$J7</f>
        <v>#N/A</v>
      </c>
      <c r="T7" s="223" t="s">
        <v>406</v>
      </c>
      <c r="U7" s="237"/>
      <c r="V7" s="2597"/>
      <c r="W7" s="2597"/>
      <c r="X7" s="2597"/>
      <c r="Y7" s="2597"/>
      <c r="Z7" s="2597"/>
      <c r="AA7" s="2597"/>
      <c r="AB7" s="2597"/>
      <c r="AC7" s="2597"/>
      <c r="AD7" s="2597"/>
      <c r="AE7" s="2597"/>
      <c r="AF7" s="2597"/>
      <c r="AG7" s="2597"/>
      <c r="AH7" s="2597"/>
      <c r="AI7" s="2597"/>
      <c r="AJ7" s="2597"/>
      <c r="AK7" s="2597"/>
      <c r="AL7" s="2597"/>
      <c r="AM7" s="1919" t="s">
        <v>407</v>
      </c>
      <c r="AO7" s="436"/>
      <c r="AP7" s="436" t="str">
        <f t="shared" si="0"/>
        <v>Группа потребителей</v>
      </c>
      <c r="AQ7" s="436"/>
      <c r="AR7" s="436"/>
      <c r="AS7" s="1071">
        <v>0</v>
      </c>
    </row>
    <row r="8" spans="1:45" ht="11.25" hidden="1" customHeight="1">
      <c r="A8" s="1279"/>
      <c r="B8" s="1279"/>
      <c r="C8" s="1279"/>
      <c r="D8" s="1279"/>
      <c r="E8" s="2564"/>
      <c r="F8" s="2564"/>
      <c r="G8" s="2564"/>
      <c r="H8" s="2564"/>
      <c r="I8" s="2566"/>
      <c r="J8" s="2566"/>
      <c r="K8" s="2565" t="e">
        <f>J7&amp;".1"</f>
        <v>#N/A</v>
      </c>
      <c r="L8" s="1280" t="s">
        <v>408</v>
      </c>
      <c r="M8" s="473"/>
      <c r="N8" s="1282"/>
      <c r="O8" s="1282"/>
      <c r="P8" s="2567"/>
      <c r="Q8" s="2567"/>
      <c r="R8" s="293">
        <v>1</v>
      </c>
      <c r="S8" s="1918" t="e">
        <f>$K8</f>
        <v>#N/A</v>
      </c>
      <c r="T8" s="1923"/>
      <c r="U8" s="1924"/>
      <c r="V8" s="1925"/>
      <c r="W8" s="1265"/>
      <c r="X8" s="1925"/>
      <c r="Y8" s="1926"/>
      <c r="Z8" s="2598"/>
      <c r="AA8" s="2450" t="s">
        <v>62</v>
      </c>
      <c r="AB8" s="2598"/>
      <c r="AC8" s="2450" t="s">
        <v>62</v>
      </c>
      <c r="AD8" s="1925"/>
      <c r="AE8" s="1265"/>
      <c r="AF8" s="1925"/>
      <c r="AG8" s="1926"/>
      <c r="AH8" s="2598"/>
      <c r="AI8" s="2450" t="s">
        <v>62</v>
      </c>
      <c r="AJ8" s="2598"/>
      <c r="AK8" s="2450" t="s">
        <v>62</v>
      </c>
      <c r="AL8" s="1265"/>
      <c r="AM8" s="2586" t="s">
        <v>409</v>
      </c>
      <c r="AN8" s="447" t="e">
        <f ca="1">STRCHECKDATE(V9:AL9)</f>
        <v>#NAME?</v>
      </c>
      <c r="AO8" s="436"/>
      <c r="AP8" s="436" t="str">
        <f t="shared" si="0"/>
        <v/>
      </c>
      <c r="AQ8" s="436"/>
      <c r="AR8" s="436"/>
      <c r="AS8" s="1071">
        <v>0</v>
      </c>
    </row>
    <row r="9" spans="1:45" ht="0.75" hidden="1" customHeight="1">
      <c r="A9" s="1279"/>
      <c r="B9" s="1279"/>
      <c r="C9" s="1279"/>
      <c r="D9" s="1279"/>
      <c r="E9" s="2564"/>
      <c r="F9" s="2564"/>
      <c r="G9" s="2564"/>
      <c r="H9" s="2564"/>
      <c r="I9" s="2566"/>
      <c r="J9" s="2566"/>
      <c r="K9" s="2565"/>
      <c r="L9" s="1280"/>
      <c r="M9" s="473"/>
      <c r="N9" s="1282"/>
      <c r="O9" s="1282"/>
      <c r="P9" s="2567"/>
      <c r="Q9" s="2567"/>
      <c r="R9" s="293"/>
      <c r="S9" s="1258"/>
      <c r="T9" s="237"/>
      <c r="U9" s="237"/>
      <c r="V9" s="262"/>
      <c r="W9" s="262"/>
      <c r="X9" s="262"/>
      <c r="Y9" s="265" t="str">
        <f>Z8&amp;"-"&amp;AB8</f>
        <v>-</v>
      </c>
      <c r="Z9" s="2569"/>
      <c r="AA9" s="2445"/>
      <c r="AB9" s="2569"/>
      <c r="AC9" s="2445"/>
      <c r="AD9" s="262"/>
      <c r="AE9" s="262"/>
      <c r="AF9" s="262"/>
      <c r="AG9" s="265" t="str">
        <f>AH8&amp;"-"&amp;AJ8</f>
        <v>-</v>
      </c>
      <c r="AH9" s="2569"/>
      <c r="AI9" s="2445"/>
      <c r="AJ9" s="2569"/>
      <c r="AK9" s="2445"/>
      <c r="AL9" s="262"/>
      <c r="AM9" s="2587"/>
      <c r="AO9" s="436"/>
      <c r="AP9" s="436" t="str">
        <f t="shared" si="0"/>
        <v/>
      </c>
      <c r="AQ9" s="436"/>
      <c r="AR9" s="436"/>
      <c r="AS9" s="1071">
        <v>0</v>
      </c>
    </row>
    <row r="10" spans="1:45" ht="11.25" hidden="1" customHeight="1">
      <c r="A10" s="1279"/>
      <c r="B10" s="1279"/>
      <c r="C10" s="1279"/>
      <c r="D10" s="1279"/>
      <c r="E10" s="2564"/>
      <c r="F10" s="2564"/>
      <c r="G10" s="2564"/>
      <c r="H10" s="2564"/>
      <c r="I10" s="2566"/>
      <c r="J10" s="2565"/>
      <c r="K10" s="1279"/>
      <c r="L10" s="1280"/>
      <c r="M10" s="473"/>
      <c r="N10" s="1282"/>
      <c r="P10" s="2567"/>
      <c r="Q10" s="2567"/>
      <c r="R10" s="292"/>
      <c r="S10" s="1194"/>
      <c r="T10" s="224" t="s">
        <v>410</v>
      </c>
      <c r="U10" s="303"/>
      <c r="V10" s="303"/>
      <c r="W10" s="303"/>
      <c r="X10" s="303"/>
      <c r="Y10" s="303"/>
      <c r="Z10" s="303"/>
      <c r="AA10" s="303"/>
      <c r="AB10" s="303"/>
      <c r="AC10" s="303"/>
      <c r="AD10" s="303"/>
      <c r="AE10" s="303"/>
      <c r="AF10" s="303"/>
      <c r="AG10" s="303"/>
      <c r="AH10" s="303"/>
      <c r="AI10" s="303"/>
      <c r="AJ10" s="303"/>
      <c r="AK10" s="303"/>
      <c r="AL10" s="261"/>
      <c r="AM10" s="2588"/>
      <c r="AO10" s="436"/>
      <c r="AP10" s="436" t="str">
        <f t="shared" si="0"/>
        <v>Добавить вид теплоносителя (параметры теплоносителя)</v>
      </c>
      <c r="AQ10" s="436"/>
      <c r="AR10" s="436"/>
      <c r="AS10" s="1071">
        <v>0</v>
      </c>
    </row>
    <row r="11" spans="1:45" ht="11.25" hidden="1" customHeight="1">
      <c r="A11" s="1279"/>
      <c r="B11" s="1279"/>
      <c r="C11" s="1279"/>
      <c r="D11" s="1279"/>
      <c r="E11" s="2564"/>
      <c r="F11" s="2564"/>
      <c r="G11" s="2564"/>
      <c r="H11" s="2564"/>
      <c r="I11" s="2565"/>
      <c r="J11" s="1279"/>
      <c r="K11" s="1279"/>
      <c r="L11" s="1280"/>
      <c r="M11" s="473"/>
      <c r="P11" s="2567"/>
      <c r="Q11" s="1247"/>
      <c r="R11" s="292"/>
      <c r="S11" s="119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0.75" hidden="1" customHeight="1">
      <c r="A12" s="1279"/>
      <c r="B12" s="1279"/>
      <c r="C12" s="1279"/>
      <c r="D12" s="1279"/>
      <c r="E12" s="2564"/>
      <c r="F12" s="2564"/>
      <c r="G12" s="2564"/>
      <c r="H12" s="2563"/>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344" customFormat="1" ht="0.75" hidden="1" customHeight="1">
      <c r="A13" s="1230"/>
      <c r="B13" s="1230"/>
      <c r="C13" s="1230"/>
      <c r="D13" s="1230"/>
      <c r="E13" s="2564"/>
      <c r="F13" s="2564"/>
      <c r="G13" s="2563"/>
      <c r="H13" s="1230"/>
      <c r="I13" s="1230"/>
      <c r="J13" s="1230"/>
      <c r="K13" s="1230"/>
      <c r="L13" s="1255"/>
      <c r="M13" s="1231"/>
      <c r="N13" s="1231"/>
      <c r="P13" s="1232"/>
      <c r="Q13" s="1233"/>
      <c r="R13" s="1232"/>
      <c r="S13" s="1234"/>
      <c r="T13" s="1235" t="s">
        <v>413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344" customFormat="1" ht="0.75" hidden="1" customHeight="1">
      <c r="A14" s="1230"/>
      <c r="B14" s="1230"/>
      <c r="C14" s="1230"/>
      <c r="D14" s="1230"/>
      <c r="E14" s="2564"/>
      <c r="F14" s="2563"/>
      <c r="G14" s="1230"/>
      <c r="H14" s="1230"/>
      <c r="I14" s="1230"/>
      <c r="J14" s="1230"/>
      <c r="K14" s="1230"/>
      <c r="L14" s="1255"/>
      <c r="M14" s="1237"/>
      <c r="N14" s="1237"/>
      <c r="P14" s="1232"/>
      <c r="Q14" s="1233"/>
      <c r="R14" s="1232"/>
      <c r="S14" s="1238"/>
      <c r="T14" s="1239" t="s">
        <v>414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344" customFormat="1" ht="0.75" hidden="1" customHeight="1">
      <c r="A15" s="1230"/>
      <c r="B15" s="1230"/>
      <c r="C15" s="1230"/>
      <c r="D15" s="1230"/>
      <c r="E15" s="2563"/>
      <c r="F15" s="1230"/>
      <c r="G15" s="1230"/>
      <c r="H15" s="1230"/>
      <c r="I15" s="1230"/>
      <c r="J15" s="1230"/>
      <c r="K15" s="1230"/>
      <c r="L15" s="1255"/>
      <c r="M15" s="1237"/>
      <c r="N15" s="1237"/>
      <c r="P15" s="1232"/>
      <c r="Q15" s="1233"/>
      <c r="R15" s="1232"/>
      <c r="S15" s="1238"/>
      <c r="T15" s="1241" t="s">
        <v>415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61"/>
      <c r="AI17" s="2560" t="s">
        <v>62</v>
      </c>
      <c r="AJ17" s="2561"/>
      <c r="AK17" s="2560" t="s">
        <v>62</v>
      </c>
      <c r="AS17" s="1071">
        <v>0</v>
      </c>
    </row>
    <row r="18" spans="1:45" ht="14.25" hidden="1" customHeight="1">
      <c r="AD18" s="1276"/>
      <c r="AE18" s="1276"/>
      <c r="AF18" s="1276"/>
      <c r="AG18" s="265" t="str">
        <f>AH17&amp;"-"&amp;AJ17</f>
        <v>-</v>
      </c>
      <c r="AH18" s="2560"/>
      <c r="AI18" s="2560"/>
      <c r="AJ18" s="2560"/>
      <c r="AK18" s="2560"/>
      <c r="AS18" s="1071">
        <v>0</v>
      </c>
    </row>
    <row r="19" spans="1:45" ht="14.25" hidden="1" customHeight="1">
      <c r="AK19" s="264"/>
      <c r="AS19" s="1071">
        <v>0</v>
      </c>
    </row>
    <row r="20" spans="1:45" s="2357" customFormat="1" ht="22.5" hidden="1" customHeight="1">
      <c r="L20" s="1245"/>
      <c r="M20" s="1278"/>
      <c r="N20" s="1278"/>
      <c r="O20" s="1283" t="s">
        <v>416</v>
      </c>
      <c r="P20" s="1278"/>
      <c r="Q20" s="1287"/>
      <c r="R20" s="1287"/>
      <c r="S20" s="665"/>
      <c r="Z20" s="1283"/>
      <c r="AB20" s="1283"/>
      <c r="AC20" s="1282"/>
      <c r="AH20" s="1283"/>
      <c r="AJ20" s="1283"/>
      <c r="AK20" s="1282"/>
      <c r="AN20" s="447"/>
      <c r="AO20" s="447"/>
      <c r="AP20" s="447"/>
      <c r="AQ20" s="447"/>
      <c r="AR20" s="447"/>
      <c r="AS20" s="1076">
        <v>0</v>
      </c>
    </row>
    <row r="21" spans="1:45" s="235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57" customFormat="1" ht="14.25" hidden="1" customHeight="1">
      <c r="L22" s="1245"/>
      <c r="M22" s="1278"/>
      <c r="N22" s="1278"/>
      <c r="O22" s="1280" t="s">
        <v>417</v>
      </c>
      <c r="P22" s="1278"/>
      <c r="Q22" s="1287"/>
      <c r="R22" s="1287"/>
      <c r="S22" s="665"/>
      <c r="T22" s="1076" t="s">
        <v>418</v>
      </c>
      <c r="AA22" s="123" t="s">
        <v>419</v>
      </c>
      <c r="AC22" s="123" t="s">
        <v>420</v>
      </c>
      <c r="AD22" s="1076" t="s">
        <v>418</v>
      </c>
      <c r="AI22" s="123" t="s">
        <v>421</v>
      </c>
      <c r="AK22" s="123" t="s">
        <v>420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54.75" customHeight="1">
      <c r="Q26" s="312"/>
      <c r="R26" s="312"/>
      <c r="S26" s="24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93"/>
      <c r="U26" s="2493"/>
      <c r="V26" s="2493"/>
      <c r="W26" s="2493"/>
      <c r="X26" s="2493"/>
      <c r="Y26" s="2493"/>
      <c r="Z26" s="2493"/>
      <c r="AA26" s="2493"/>
      <c r="AB26" s="2493"/>
      <c r="AC26" s="2493"/>
      <c r="AD26" s="2493"/>
      <c r="AE26" s="2493"/>
      <c r="AF26" s="2493"/>
      <c r="AG26" s="2493"/>
      <c r="AH26" s="2493"/>
      <c r="AI26" s="2493"/>
      <c r="AJ26" s="2493"/>
      <c r="AK26" s="1159"/>
      <c r="AS26" s="1071">
        <v>52</v>
      </c>
    </row>
    <row r="27" spans="1:45" ht="14.65" customHeight="1">
      <c r="Q27" s="312"/>
      <c r="R27" s="312"/>
      <c r="S27" s="2516" t="str">
        <f>IF(org=0,"Не определено",org)</f>
        <v>ООО "Пятигорсктеплосервис"</v>
      </c>
      <c r="T27" s="2516"/>
      <c r="U27" s="2516"/>
      <c r="V27" s="2516"/>
      <c r="W27" s="2516"/>
      <c r="X27" s="2516"/>
      <c r="Y27" s="2516"/>
      <c r="Z27" s="2516"/>
      <c r="AA27" s="2516"/>
      <c r="AB27" s="2516"/>
      <c r="AC27" s="2516"/>
      <c r="AD27" s="2516"/>
      <c r="AE27" s="2516"/>
      <c r="AF27" s="2516"/>
      <c r="AG27" s="2516"/>
      <c r="AH27" s="2516"/>
      <c r="AI27" s="2516"/>
      <c r="AJ27" s="2516"/>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380" customFormat="1" ht="25.5" hidden="1" customHeight="1">
      <c r="A29" s="1284"/>
      <c r="B29" s="1284"/>
      <c r="C29" s="1284"/>
      <c r="D29" s="1284"/>
      <c r="E29" s="1284"/>
      <c r="F29" s="1284"/>
      <c r="G29" s="1284"/>
      <c r="H29" s="1284"/>
      <c r="I29" s="1284"/>
      <c r="J29" s="1284"/>
      <c r="K29" s="1284"/>
      <c r="L29" s="1285"/>
      <c r="M29" s="1284"/>
      <c r="N29" s="1284"/>
      <c r="O29" s="1284"/>
      <c r="S29" s="2554" t="s">
        <v>41</v>
      </c>
      <c r="T29" s="2554"/>
      <c r="U29" s="1288"/>
      <c r="V29" s="2556" t="str">
        <f>IF(TITLE_NAME_OR_PR_CHANGE="",IF(TITLE_NAME_OR_PR="","",TITLE_NAME_OR_PR),TITLE_NAME_OR_PR_CHANGE)</f>
        <v/>
      </c>
      <c r="W29" s="2556"/>
      <c r="X29" s="2556"/>
      <c r="Y29" s="2556"/>
      <c r="Z29" s="2556"/>
      <c r="AA29" s="2556"/>
      <c r="AB29" s="2556"/>
      <c r="AC29" s="263"/>
      <c r="AD29" s="2556" t="str">
        <f>IF(TITLE_NAME_OR_PR_CHANGE="",IF(TITLE_NAME_OR_PR="","",TITLE_NAME_OR_PR),TITLE_NAME_OR_PR_CHANGE)</f>
        <v/>
      </c>
      <c r="AE29" s="2556"/>
      <c r="AF29" s="2556"/>
      <c r="AG29" s="2556"/>
      <c r="AH29" s="2556"/>
      <c r="AI29" s="2556"/>
      <c r="AJ29" s="2556"/>
      <c r="AK29" s="263"/>
      <c r="AL29" s="263"/>
      <c r="AM29" s="217"/>
      <c r="AN29" s="304"/>
      <c r="AO29" s="304"/>
      <c r="AP29" s="304"/>
      <c r="AQ29" s="304"/>
      <c r="AR29" s="304"/>
      <c r="AS29" s="354">
        <v>0</v>
      </c>
    </row>
    <row r="30" spans="1:45" s="2380" customFormat="1" ht="18.75" hidden="1" customHeight="1">
      <c r="A30" s="1284"/>
      <c r="B30" s="1284"/>
      <c r="C30" s="1284"/>
      <c r="D30" s="1284"/>
      <c r="E30" s="1284"/>
      <c r="F30" s="1284"/>
      <c r="G30" s="1284"/>
      <c r="H30" s="1284"/>
      <c r="I30" s="1284"/>
      <c r="J30" s="1284"/>
      <c r="K30" s="1284"/>
      <c r="L30" s="1285"/>
      <c r="M30" s="1284"/>
      <c r="N30" s="1284"/>
      <c r="O30" s="1284"/>
      <c r="S30" s="2554" t="s">
        <v>422</v>
      </c>
      <c r="T30" s="2554"/>
      <c r="U30" s="1288"/>
      <c r="V30" s="2555" t="str">
        <f>IF(TITLE_DATE_PR_CHANGE="",IF(TITLE_DATE_PR="","",TITLE_DATE_PR),TITLE_DATE_PR_CHANGE)</f>
        <v/>
      </c>
      <c r="W30" s="2555"/>
      <c r="X30" s="2555"/>
      <c r="Y30" s="2555"/>
      <c r="Z30" s="2555"/>
      <c r="AA30" s="2555"/>
      <c r="AB30" s="2555"/>
      <c r="AC30" s="263"/>
      <c r="AD30" s="2555" t="str">
        <f>IF(TITLE_DATE_PR_CHANGE="",IF(TITLE_DATE_PR="","",TITLE_DATE_PR),TITLE_DATE_PR_CHANGE)</f>
        <v/>
      </c>
      <c r="AE30" s="2555"/>
      <c r="AF30" s="2555"/>
      <c r="AG30" s="2555"/>
      <c r="AH30" s="2555"/>
      <c r="AI30" s="2555"/>
      <c r="AJ30" s="2555"/>
      <c r="AK30" s="263"/>
      <c r="AL30" s="263"/>
      <c r="AM30" s="217"/>
      <c r="AN30" s="304"/>
      <c r="AO30" s="304"/>
      <c r="AP30" s="304"/>
      <c r="AQ30" s="304"/>
      <c r="AR30" s="304"/>
      <c r="AS30" s="354">
        <v>0</v>
      </c>
    </row>
    <row r="31" spans="1:45" s="2380" customFormat="1" ht="18.75" hidden="1" customHeight="1">
      <c r="A31" s="1284"/>
      <c r="B31" s="1284"/>
      <c r="C31" s="1284"/>
      <c r="D31" s="1284"/>
      <c r="E31" s="1284"/>
      <c r="F31" s="1284"/>
      <c r="G31" s="1284"/>
      <c r="H31" s="1284"/>
      <c r="I31" s="1284"/>
      <c r="J31" s="1284"/>
      <c r="K31" s="1284"/>
      <c r="L31" s="1285"/>
      <c r="M31" s="1284"/>
      <c r="N31" s="1284"/>
      <c r="O31" s="1284"/>
      <c r="S31" s="2554" t="s">
        <v>423</v>
      </c>
      <c r="T31" s="2554"/>
      <c r="U31" s="1288"/>
      <c r="V31" s="2556" t="str">
        <f>IF(TITLE_NUMBER_PR_CHANGE="",IF(TITLE_NUMBER_PR="","",TITLE_NUMBER_PR),TITLE_NUMBER_PR_CHANGE)</f>
        <v/>
      </c>
      <c r="W31" s="2556"/>
      <c r="X31" s="2556"/>
      <c r="Y31" s="2556"/>
      <c r="Z31" s="2556"/>
      <c r="AA31" s="2556"/>
      <c r="AB31" s="2556"/>
      <c r="AC31" s="263"/>
      <c r="AD31" s="2556" t="str">
        <f>IF(TITLE_NUMBER_PR_CHANGE="",IF(TITLE_NUMBER_PR="","",TITLE_NUMBER_PR),TITLE_NUMBER_PR_CHANGE)</f>
        <v/>
      </c>
      <c r="AE31" s="2556"/>
      <c r="AF31" s="2556"/>
      <c r="AG31" s="2556"/>
      <c r="AH31" s="2556"/>
      <c r="AI31" s="2556"/>
      <c r="AJ31" s="2556"/>
      <c r="AK31" s="263"/>
      <c r="AL31" s="263"/>
      <c r="AM31" s="217"/>
      <c r="AN31" s="304"/>
      <c r="AO31" s="304"/>
      <c r="AP31" s="304"/>
      <c r="AQ31" s="304"/>
      <c r="AR31" s="304"/>
      <c r="AS31" s="354">
        <v>0</v>
      </c>
    </row>
    <row r="32" spans="1:45" s="2380" customFormat="1" ht="18.75" hidden="1" customHeight="1">
      <c r="A32" s="1284"/>
      <c r="B32" s="1284"/>
      <c r="C32" s="1284"/>
      <c r="D32" s="1284"/>
      <c r="E32" s="1284"/>
      <c r="F32" s="1284"/>
      <c r="G32" s="1284"/>
      <c r="H32" s="1284"/>
      <c r="I32" s="1284"/>
      <c r="J32" s="1284"/>
      <c r="K32" s="1284"/>
      <c r="L32" s="1285"/>
      <c r="M32" s="1284"/>
      <c r="N32" s="1284"/>
      <c r="O32" s="1284"/>
      <c r="S32" s="2554" t="s">
        <v>42</v>
      </c>
      <c r="T32" s="2554"/>
      <c r="U32" s="1288"/>
      <c r="V32" s="2556" t="str">
        <f>IF(TITLE_IST_PUB_CHANGE="",IF(TITLE_IST_PUB="","",TITLE_IST_PUB),TITLE_IST_PUB_CHANGE)</f>
        <v/>
      </c>
      <c r="W32" s="2556"/>
      <c r="X32" s="2556"/>
      <c r="Y32" s="2556"/>
      <c r="Z32" s="2556"/>
      <c r="AA32" s="2556"/>
      <c r="AB32" s="2556"/>
      <c r="AC32" s="263"/>
      <c r="AD32" s="2556" t="str">
        <f>IF(TITLE_IST_PUB_CHANGE="",IF(TITLE_IST_PUB="","",TITLE_IST_PUB),TITLE_IST_PUB_CHANGE)</f>
        <v/>
      </c>
      <c r="AE32" s="2556"/>
      <c r="AF32" s="2556"/>
      <c r="AG32" s="2556"/>
      <c r="AH32" s="2556"/>
      <c r="AI32" s="2556"/>
      <c r="AJ32" s="2556"/>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380" customFormat="1" ht="18.75" hidden="1" customHeight="1">
      <c r="A34" s="1284"/>
      <c r="B34" s="1284"/>
      <c r="C34" s="1284"/>
      <c r="D34" s="1284"/>
      <c r="E34" s="1284"/>
      <c r="F34" s="1284"/>
      <c r="G34" s="1284"/>
      <c r="H34" s="1284"/>
      <c r="I34" s="1284"/>
      <c r="J34" s="1284"/>
      <c r="K34" s="1284"/>
      <c r="L34" s="1285"/>
      <c r="M34" s="1284"/>
      <c r="N34" s="1284"/>
      <c r="O34" s="1284"/>
      <c r="S34" s="2554" t="s">
        <v>424</v>
      </c>
      <c r="T34" s="2554"/>
      <c r="U34" s="1288"/>
      <c r="V34" s="2555" t="str">
        <f>IF(TITLE_DATE_PR_CHANGE="",IF(TITLE_DATE_PR="","",TITLE_DATE_PR),TITLE_DATE_PR_CHANGE)</f>
        <v/>
      </c>
      <c r="W34" s="2555"/>
      <c r="X34" s="2555"/>
      <c r="Y34" s="2555"/>
      <c r="Z34" s="2555"/>
      <c r="AA34" s="2555"/>
      <c r="AB34" s="2555"/>
      <c r="AC34" s="263"/>
      <c r="AD34" s="2555" t="str">
        <f>IF(TITLE_DATE_PR_CHANGE="",IF(TITLE_DATE_PR="","",TITLE_DATE_PR),TITLE_DATE_PR_CHANGE)</f>
        <v/>
      </c>
      <c r="AE34" s="2555"/>
      <c r="AF34" s="2555"/>
      <c r="AG34" s="2555"/>
      <c r="AH34" s="2555"/>
      <c r="AI34" s="2555"/>
      <c r="AJ34" s="2555"/>
      <c r="AK34" s="263"/>
      <c r="AL34" s="263"/>
      <c r="AM34" s="217"/>
      <c r="AN34" s="304"/>
      <c r="AO34" s="304"/>
      <c r="AP34" s="304"/>
      <c r="AQ34" s="304"/>
      <c r="AR34" s="304"/>
      <c r="AS34" s="354">
        <v>0</v>
      </c>
    </row>
    <row r="35" spans="1:45" s="2380" customFormat="1" ht="18.75" hidden="1" customHeight="1">
      <c r="A35" s="1284"/>
      <c r="B35" s="1284"/>
      <c r="C35" s="1284"/>
      <c r="D35" s="1284"/>
      <c r="E35" s="1284"/>
      <c r="F35" s="1284"/>
      <c r="G35" s="1284"/>
      <c r="H35" s="1284"/>
      <c r="I35" s="1284"/>
      <c r="J35" s="1284"/>
      <c r="K35" s="1284"/>
      <c r="L35" s="1285"/>
      <c r="M35" s="1284"/>
      <c r="N35" s="1284"/>
      <c r="O35" s="1284"/>
      <c r="S35" s="2554" t="s">
        <v>425</v>
      </c>
      <c r="T35" s="2554"/>
      <c r="U35" s="1288"/>
      <c r="V35" s="2556" t="str">
        <f>IF(TITLE_NUMBER_PR_CHANGE="",IF(TITLE_NUMBER_PR="","",TITLE_NUMBER_PR),TITLE_NUMBER_PR_CHANGE)</f>
        <v/>
      </c>
      <c r="W35" s="2556"/>
      <c r="X35" s="2556"/>
      <c r="Y35" s="2556"/>
      <c r="Z35" s="2556"/>
      <c r="AA35" s="2556"/>
      <c r="AB35" s="2556"/>
      <c r="AC35" s="263"/>
      <c r="AD35" s="2556" t="str">
        <f>IF(TITLE_NUMBER_PR_CHANGE="",IF(TITLE_NUMBER_PR="","",TITLE_NUMBER_PR),TITLE_NUMBER_PR_CHANGE)</f>
        <v/>
      </c>
      <c r="AE35" s="2556"/>
      <c r="AF35" s="2556"/>
      <c r="AG35" s="2556"/>
      <c r="AH35" s="2556"/>
      <c r="AI35" s="2556"/>
      <c r="AJ35" s="2556"/>
      <c r="AK35" s="263"/>
      <c r="AL35" s="263"/>
      <c r="AM35" s="217"/>
      <c r="AN35" s="304"/>
      <c r="AO35" s="304"/>
      <c r="AP35" s="304"/>
      <c r="AQ35" s="304"/>
      <c r="AR35" s="304"/>
      <c r="AS35" s="354">
        <v>0</v>
      </c>
    </row>
    <row r="36" spans="1:45" s="238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1"/>
      <c r="T37" s="299"/>
      <c r="U37" s="1160"/>
      <c r="V37" s="2575"/>
      <c r="W37" s="2575"/>
      <c r="X37" s="2575"/>
      <c r="Y37" s="2575"/>
      <c r="Z37" s="2575"/>
      <c r="AA37" s="2575"/>
      <c r="AB37" s="2575"/>
      <c r="AC37" s="2575"/>
      <c r="AD37" s="2575"/>
      <c r="AE37" s="2575"/>
      <c r="AF37" s="2575"/>
      <c r="AG37" s="2575"/>
      <c r="AH37" s="2575"/>
      <c r="AI37" s="2575"/>
      <c r="AJ37" s="2575"/>
      <c r="AK37" s="2575"/>
      <c r="AS37" s="1071">
        <v>14</v>
      </c>
    </row>
    <row r="38" spans="1:45" ht="14.65" customHeight="1">
      <c r="Q38" s="312"/>
      <c r="R38" s="312"/>
      <c r="S38" s="2435" t="s">
        <v>299</v>
      </c>
      <c r="T38" s="2435"/>
      <c r="U38" s="2435"/>
      <c r="V38" s="2435"/>
      <c r="W38" s="2435"/>
      <c r="X38" s="2435"/>
      <c r="Y38" s="2435"/>
      <c r="Z38" s="2435"/>
      <c r="AA38" s="2435"/>
      <c r="AB38" s="2435"/>
      <c r="AC38" s="2435"/>
      <c r="AD38" s="2435"/>
      <c r="AE38" s="2435"/>
      <c r="AF38" s="2435"/>
      <c r="AG38" s="2435"/>
      <c r="AH38" s="2435"/>
      <c r="AI38" s="2435"/>
      <c r="AJ38" s="2435"/>
      <c r="AK38" s="2435"/>
      <c r="AL38" s="2435"/>
      <c r="AM38" s="2435" t="s">
        <v>300</v>
      </c>
      <c r="AS38" s="1071">
        <v>14</v>
      </c>
    </row>
    <row r="39" spans="1:45" ht="14.65" customHeight="1">
      <c r="Q39" s="312"/>
      <c r="R39" s="312"/>
      <c r="S39" s="2576" t="s">
        <v>88</v>
      </c>
      <c r="T39" s="2524" t="s">
        <v>427</v>
      </c>
      <c r="U39" s="238"/>
      <c r="V39" s="2577" t="s">
        <v>428</v>
      </c>
      <c r="W39" s="2578"/>
      <c r="X39" s="2578"/>
      <c r="Y39" s="2578"/>
      <c r="Z39" s="2578"/>
      <c r="AA39" s="2578"/>
      <c r="AB39" s="2579"/>
      <c r="AC39" s="2580" t="s">
        <v>429</v>
      </c>
      <c r="AD39" s="2577" t="s">
        <v>428</v>
      </c>
      <c r="AE39" s="2578"/>
      <c r="AF39" s="2578"/>
      <c r="AG39" s="2578"/>
      <c r="AH39" s="2578"/>
      <c r="AI39" s="2578"/>
      <c r="AJ39" s="2579"/>
      <c r="AK39" s="2580" t="s">
        <v>430</v>
      </c>
      <c r="AL39" s="2583" t="s">
        <v>431</v>
      </c>
      <c r="AM39" s="2435"/>
      <c r="AS39" s="1071">
        <v>14</v>
      </c>
    </row>
    <row r="40" spans="1:45" ht="35.65" customHeight="1">
      <c r="Q40" s="312"/>
      <c r="R40" s="312"/>
      <c r="S40" s="2576"/>
      <c r="T40" s="2524"/>
      <c r="U40" s="953"/>
      <c r="V40" s="2494" t="s">
        <v>432</v>
      </c>
      <c r="W40" s="2572"/>
      <c r="X40" s="2417" t="s">
        <v>434</v>
      </c>
      <c r="Y40" s="2416"/>
      <c r="Z40" s="2417" t="s">
        <v>435</v>
      </c>
      <c r="AA40" s="2422"/>
      <c r="AB40" s="2416"/>
      <c r="AC40" s="2581"/>
      <c r="AD40" s="2494" t="s">
        <v>449</v>
      </c>
      <c r="AE40" s="2572"/>
      <c r="AF40" s="2417" t="s">
        <v>434</v>
      </c>
      <c r="AG40" s="2416"/>
      <c r="AH40" s="2417" t="s">
        <v>435</v>
      </c>
      <c r="AI40" s="2422"/>
      <c r="AJ40" s="2416"/>
      <c r="AK40" s="2581"/>
      <c r="AL40" s="2584"/>
      <c r="AM40" s="2435"/>
      <c r="AS40" s="1071">
        <v>34</v>
      </c>
    </row>
    <row r="41" spans="1:45" ht="35.65" customHeight="1">
      <c r="A41" s="1286"/>
      <c r="B41" s="1286" t="s">
        <v>136</v>
      </c>
      <c r="C41" s="1286" t="s">
        <v>137</v>
      </c>
      <c r="D41" s="1286" t="s">
        <v>138</v>
      </c>
      <c r="E41" s="1280" t="s">
        <v>436</v>
      </c>
      <c r="F41" s="1280" t="s">
        <v>437</v>
      </c>
      <c r="G41" s="1280" t="s">
        <v>438</v>
      </c>
      <c r="H41" s="1280" t="s">
        <v>439</v>
      </c>
      <c r="I41" s="1280" t="s">
        <v>440</v>
      </c>
      <c r="J41" s="1280" t="s">
        <v>441</v>
      </c>
      <c r="K41" s="1280" t="s">
        <v>442</v>
      </c>
      <c r="L41" s="1280" t="s">
        <v>417</v>
      </c>
      <c r="Q41" s="312"/>
      <c r="R41" s="312"/>
      <c r="S41" s="2576"/>
      <c r="T41" s="2524"/>
      <c r="U41" s="239"/>
      <c r="V41" s="2549"/>
      <c r="W41" s="2573"/>
      <c r="X41" s="1138" t="s">
        <v>443</v>
      </c>
      <c r="Y41" s="1138" t="s">
        <v>444</v>
      </c>
      <c r="Z41" s="1254" t="s">
        <v>445</v>
      </c>
      <c r="AA41" s="2529" t="s">
        <v>446</v>
      </c>
      <c r="AB41" s="2543"/>
      <c r="AC41" s="2582"/>
      <c r="AD41" s="2549"/>
      <c r="AE41" s="2573"/>
      <c r="AF41" s="1138" t="s">
        <v>443</v>
      </c>
      <c r="AG41" s="1138" t="s">
        <v>444</v>
      </c>
      <c r="AH41" s="1254" t="s">
        <v>445</v>
      </c>
      <c r="AI41" s="2529" t="s">
        <v>446</v>
      </c>
      <c r="AJ41" s="2543"/>
      <c r="AK41" s="2582"/>
      <c r="AL41" s="2585"/>
      <c r="AM41" s="2435"/>
      <c r="AS41" s="1071">
        <v>34</v>
      </c>
    </row>
    <row r="42" spans="1:45" s="233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109</v>
      </c>
      <c r="T42" s="1171" t="s">
        <v>110</v>
      </c>
      <c r="U42" s="1161" t="str">
        <f ca="1">OFFSET(U42,0,-1)</f>
        <v>2</v>
      </c>
      <c r="V42" s="1251">
        <f ca="1">OFFSET(V42,0,-1)+1</f>
        <v>3</v>
      </c>
      <c r="W42" s="1251"/>
      <c r="X42" s="1251">
        <f ca="1">OFFSET(X42,0,-1)+1</f>
        <v>1</v>
      </c>
      <c r="Y42" s="1251">
        <f ca="1">OFFSET(Y42,0,-1)+1</f>
        <v>2</v>
      </c>
      <c r="Z42" s="1251">
        <f ca="1">OFFSET(Z42,0,-1)+1</f>
        <v>3</v>
      </c>
      <c r="AA42" s="2574">
        <f ca="1">OFFSET(AA42,0,-1)+1</f>
        <v>4</v>
      </c>
      <c r="AB42" s="2574"/>
      <c r="AC42" s="1251">
        <f ca="1">OFFSET(AC42,0,-2)+1</f>
        <v>5</v>
      </c>
      <c r="AD42" s="1251">
        <f ca="1">OFFSET(AD42,0,-1)+1</f>
        <v>6</v>
      </c>
      <c r="AE42" s="1251"/>
      <c r="AF42" s="1251">
        <f ca="1">OFFSET(AF42,0,-1)+1</f>
        <v>1</v>
      </c>
      <c r="AG42" s="1251">
        <f ca="1">OFFSET(AG42,0,-1)+1</f>
        <v>2</v>
      </c>
      <c r="AH42" s="1251">
        <f ca="1">OFFSET(AH42,0,-1)+1</f>
        <v>3</v>
      </c>
      <c r="AI42" s="2574">
        <f ca="1">OFFSET(AI42,0,-1)+1</f>
        <v>4</v>
      </c>
      <c r="AJ42" s="2574"/>
      <c r="AK42" s="1251">
        <f ca="1">OFFSET(AK42,0,-2)+1</f>
        <v>5</v>
      </c>
      <c r="AL42" s="1161">
        <f ca="1">OFFSET(AL42,0,-1)</f>
        <v>5</v>
      </c>
      <c r="AM42" s="1251">
        <f ca="1">OFFSET(AM42,0,-1)+1</f>
        <v>6</v>
      </c>
      <c r="AN42" s="447"/>
      <c r="AO42" s="447"/>
      <c r="AP42" s="447"/>
      <c r="AQ42" s="447"/>
      <c r="AR42" s="447"/>
      <c r="AS42" s="432">
        <v>0</v>
      </c>
    </row>
    <row r="43" spans="1:45" ht="21.95" customHeight="1">
      <c r="A43" s="1279" t="s">
        <v>181</v>
      </c>
      <c r="B43" s="1279"/>
      <c r="C43" s="1279"/>
      <c r="D43" s="1279"/>
      <c r="E43" s="2563">
        <v>1</v>
      </c>
      <c r="F43" s="1279"/>
      <c r="G43" s="1279"/>
      <c r="H43" s="1279"/>
      <c r="I43" s="1279"/>
      <c r="J43" s="1279"/>
      <c r="K43" s="1279"/>
      <c r="L43" s="1280"/>
      <c r="M43" s="1281"/>
      <c r="N43" s="1281"/>
      <c r="O43" s="1281"/>
      <c r="P43" s="297"/>
      <c r="Q43" s="296"/>
      <c r="R43" s="291"/>
      <c r="S43" s="1252">
        <f>INDEX(PT_DIFFERENTIATION_NUM_NTAR,MATCH(A43,PT_DIFFERENTIATION_NTAR_ID,0))</f>
        <v>0</v>
      </c>
      <c r="T43" s="235" t="s">
        <v>124</v>
      </c>
      <c r="U43" s="237"/>
      <c r="V43" s="2557"/>
      <c r="W43" s="2558"/>
      <c r="X43" s="2558"/>
      <c r="Y43" s="2558"/>
      <c r="Z43" s="2558"/>
      <c r="AA43" s="2558"/>
      <c r="AB43" s="2558"/>
      <c r="AC43" s="2559"/>
      <c r="AD43" s="2557" t="str">
        <f>INDEX(PT_DIFFERENTIATION_NTAR,MATCH(A43,PT_DIFFERENTIATION_NTAR_ID,0))</f>
        <v/>
      </c>
      <c r="AE43" s="2558"/>
      <c r="AF43" s="2558"/>
      <c r="AG43" s="2558"/>
      <c r="AH43" s="2558"/>
      <c r="AI43" s="2558"/>
      <c r="AJ43" s="2558"/>
      <c r="AK43" s="2558"/>
      <c r="AL43" s="2559"/>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181</v>
      </c>
      <c r="B44" s="1279" t="s">
        <v>182</v>
      </c>
      <c r="C44" s="1279"/>
      <c r="D44" s="1279"/>
      <c r="E44" s="2564"/>
      <c r="F44" s="2563">
        <v>1</v>
      </c>
      <c r="G44" s="1279"/>
      <c r="H44" s="1279"/>
      <c r="I44" s="1279"/>
      <c r="J44" s="1279"/>
      <c r="K44" s="1279"/>
      <c r="L44" s="1280"/>
      <c r="M44" s="1281"/>
      <c r="N44" s="1281"/>
      <c r="O44" s="1281"/>
      <c r="P44" s="1248"/>
      <c r="Q44" s="288"/>
      <c r="R44" s="289"/>
      <c r="S44" s="1252" t="str">
        <f>INDEX(PT_DIFFERENTIATION_NUM_TER,MATCH(B44,PT_DIFFERENTIATION_TER_ID,0))</f>
        <v>.</v>
      </c>
      <c r="T44" s="245" t="s">
        <v>396</v>
      </c>
      <c r="U44" s="237"/>
      <c r="V44" s="2557"/>
      <c r="W44" s="2558"/>
      <c r="X44" s="2558"/>
      <c r="Y44" s="2558"/>
      <c r="Z44" s="2558"/>
      <c r="AA44" s="2558"/>
      <c r="AB44" s="2558"/>
      <c r="AC44" s="2559"/>
      <c r="AD44" s="2557" t="str">
        <f>INDEX(PT_DIFFERENTIATION_TER,MATCH(B44,PT_DIFFERENTIATION_TER_ID,0))</f>
        <v/>
      </c>
      <c r="AE44" s="2558"/>
      <c r="AF44" s="2558"/>
      <c r="AG44" s="2558"/>
      <c r="AH44" s="2558"/>
      <c r="AI44" s="2558"/>
      <c r="AJ44" s="2558"/>
      <c r="AK44" s="2558"/>
      <c r="AL44" s="2559"/>
      <c r="AM44" s="1174" t="s">
        <v>397</v>
      </c>
      <c r="AO44" s="436"/>
      <c r="AP44" s="436" t="str">
        <f t="shared" si="1"/>
        <v>Территория действия тарифа</v>
      </c>
      <c r="AQ44" s="436"/>
      <c r="AR44" s="436"/>
      <c r="AS44" s="1071">
        <v>21</v>
      </c>
    </row>
    <row r="45" spans="1:45" ht="24" customHeight="1">
      <c r="A45" s="1279" t="s">
        <v>181</v>
      </c>
      <c r="B45" s="1279" t="s">
        <v>182</v>
      </c>
      <c r="C45" s="1279" t="s">
        <v>183</v>
      </c>
      <c r="D45" s="1279"/>
      <c r="E45" s="2564"/>
      <c r="F45" s="2564"/>
      <c r="G45" s="2563">
        <v>1</v>
      </c>
      <c r="H45" s="1279"/>
      <c r="I45" s="1279"/>
      <c r="J45" s="1279"/>
      <c r="K45" s="1279"/>
      <c r="L45" s="1280"/>
      <c r="M45" s="1281"/>
      <c r="N45" s="1281"/>
      <c r="O45" s="1281"/>
      <c r="P45" s="290"/>
      <c r="Q45" s="288"/>
      <c r="R45" s="289"/>
      <c r="S45" s="1252" t="str">
        <f>INDEX(PT_DIFFERENTIATION_NUM_CS,MATCH(C45,PT_DIFFERENTIATION_CS_ID,0))</f>
        <v>..</v>
      </c>
      <c r="T45" s="246" t="s">
        <v>398</v>
      </c>
      <c r="U45" s="237"/>
      <c r="V45" s="2557"/>
      <c r="W45" s="2558"/>
      <c r="X45" s="2558"/>
      <c r="Y45" s="2558"/>
      <c r="Z45" s="2558"/>
      <c r="AA45" s="2558"/>
      <c r="AB45" s="2558"/>
      <c r="AC45" s="2559"/>
      <c r="AD45" s="2557" t="str">
        <f>INDEX(PT_DIFFERENTIATION_CS,MATCH(C45,PT_DIFFERENTIATION_CS_ID,0))</f>
        <v/>
      </c>
      <c r="AE45" s="2558"/>
      <c r="AF45" s="2558"/>
      <c r="AG45" s="2558"/>
      <c r="AH45" s="2558"/>
      <c r="AI45" s="2558"/>
      <c r="AJ45" s="2558"/>
      <c r="AK45" s="2558"/>
      <c r="AL45" s="2559"/>
      <c r="AM45" s="1174" t="s">
        <v>399</v>
      </c>
      <c r="AO45" s="436"/>
      <c r="AP45" s="436" t="str">
        <f t="shared" si="1"/>
        <v xml:space="preserve">Наименование системы теплоснабжения </v>
      </c>
      <c r="AQ45" s="436"/>
      <c r="AR45" s="436"/>
      <c r="AS45" s="1071">
        <v>23</v>
      </c>
    </row>
    <row r="46" spans="1:45" ht="21.95" customHeight="1">
      <c r="A46" s="1279" t="s">
        <v>181</v>
      </c>
      <c r="B46" s="1279" t="s">
        <v>182</v>
      </c>
      <c r="C46" s="1279" t="s">
        <v>183</v>
      </c>
      <c r="D46" s="1279" t="s">
        <v>184</v>
      </c>
      <c r="E46" s="2564"/>
      <c r="F46" s="2564"/>
      <c r="G46" s="2564"/>
      <c r="H46" s="2563">
        <v>1</v>
      </c>
      <c r="I46" s="1279"/>
      <c r="J46" s="1279"/>
      <c r="K46" s="1279"/>
      <c r="L46" s="1280"/>
      <c r="M46" s="1281"/>
      <c r="N46" s="1281"/>
      <c r="O46" s="1281"/>
      <c r="P46" s="290"/>
      <c r="Q46" s="288"/>
      <c r="R46" s="289"/>
      <c r="S46" s="1252" t="str">
        <f>INDEX(PT_DIFFERENTIATION_NUM_IST_TE,MATCH(D46,PT_DIFFERENTIATION_IST_TE_ID,0))</f>
        <v>...</v>
      </c>
      <c r="T46" s="247" t="s">
        <v>400</v>
      </c>
      <c r="U46" s="237"/>
      <c r="V46" s="2557"/>
      <c r="W46" s="2558"/>
      <c r="X46" s="2558"/>
      <c r="Y46" s="2558"/>
      <c r="Z46" s="2558"/>
      <c r="AA46" s="2558"/>
      <c r="AB46" s="2558"/>
      <c r="AC46" s="2559"/>
      <c r="AD46" s="2557" t="str">
        <f>INDEX(PT_DIFFERENTIATION_IST_TE,MATCH(D46,PT_DIFFERENTIATION_IST_TE_ID,0))</f>
        <v/>
      </c>
      <c r="AE46" s="2558"/>
      <c r="AF46" s="2558"/>
      <c r="AG46" s="2558"/>
      <c r="AH46" s="2558"/>
      <c r="AI46" s="2558"/>
      <c r="AJ46" s="2558"/>
      <c r="AK46" s="2558"/>
      <c r="AL46" s="2559"/>
      <c r="AM46" s="1174" t="s">
        <v>401</v>
      </c>
      <c r="AO46" s="436"/>
      <c r="AP46" s="436" t="str">
        <f t="shared" si="1"/>
        <v xml:space="preserve">Источник тепловой энергии  </v>
      </c>
      <c r="AQ46" s="436"/>
      <c r="AR46" s="436"/>
      <c r="AS46" s="1071">
        <v>21</v>
      </c>
    </row>
    <row r="47" spans="1:45" s="2344" customFormat="1" ht="0" hidden="1" customHeight="1">
      <c r="A47" s="1259" t="s">
        <v>181</v>
      </c>
      <c r="B47" s="1259" t="s">
        <v>182</v>
      </c>
      <c r="C47" s="1259" t="s">
        <v>183</v>
      </c>
      <c r="D47" s="1259" t="s">
        <v>184</v>
      </c>
      <c r="E47" s="2564"/>
      <c r="F47" s="2564"/>
      <c r="G47" s="2564"/>
      <c r="H47" s="2564"/>
      <c r="I47" s="2565" t="str">
        <f>S46&amp;".1"</f>
        <v>....1</v>
      </c>
      <c r="J47" s="1259"/>
      <c r="K47" s="1259"/>
      <c r="L47" s="1262" t="s">
        <v>402</v>
      </c>
      <c r="M47" s="446"/>
      <c r="N47" s="446"/>
      <c r="O47" s="446"/>
      <c r="P47" s="2567">
        <v>1</v>
      </c>
      <c r="Q47" s="1247"/>
      <c r="R47" s="292"/>
      <c r="S47" s="964"/>
      <c r="T47" s="1299"/>
      <c r="U47" s="1300"/>
      <c r="V47" s="2594"/>
      <c r="W47" s="2595"/>
      <c r="X47" s="2595"/>
      <c r="Y47" s="2595"/>
      <c r="Z47" s="2595"/>
      <c r="AA47" s="2595"/>
      <c r="AB47" s="2595"/>
      <c r="AC47" s="2596"/>
      <c r="AD47" s="2594"/>
      <c r="AE47" s="2595"/>
      <c r="AF47" s="2595"/>
      <c r="AG47" s="2595"/>
      <c r="AH47" s="2595"/>
      <c r="AI47" s="2595"/>
      <c r="AJ47" s="2595"/>
      <c r="AK47" s="2595"/>
      <c r="AL47" s="2596"/>
      <c r="AM47" s="1301"/>
      <c r="AO47" s="436"/>
      <c r="AP47" s="436" t="str">
        <f t="shared" si="1"/>
        <v/>
      </c>
      <c r="AQ47" s="436"/>
      <c r="AR47" s="436"/>
      <c r="AS47" s="447">
        <v>0</v>
      </c>
    </row>
    <row r="48" spans="1:45" ht="21.95" customHeight="1">
      <c r="A48" s="1279" t="s">
        <v>181</v>
      </c>
      <c r="B48" s="1279" t="s">
        <v>182</v>
      </c>
      <c r="C48" s="1279" t="s">
        <v>183</v>
      </c>
      <c r="D48" s="1279" t="s">
        <v>184</v>
      </c>
      <c r="E48" s="2564"/>
      <c r="F48" s="2564"/>
      <c r="G48" s="2564"/>
      <c r="H48" s="2564"/>
      <c r="I48" s="2566"/>
      <c r="J48" s="2565" t="str">
        <f>S46&amp;".1"</f>
        <v>....1</v>
      </c>
      <c r="K48" s="1279"/>
      <c r="L48" s="1280" t="s">
        <v>405</v>
      </c>
      <c r="P48" s="2567"/>
      <c r="Q48" s="2567">
        <v>1</v>
      </c>
      <c r="R48" s="293"/>
      <c r="S48" s="1252" t="str">
        <f>$J48</f>
        <v>....1</v>
      </c>
      <c r="T48" s="223" t="s">
        <v>406</v>
      </c>
      <c r="U48" s="237"/>
      <c r="V48" s="2551"/>
      <c r="W48" s="2552"/>
      <c r="X48" s="2552"/>
      <c r="Y48" s="2552"/>
      <c r="Z48" s="2552"/>
      <c r="AA48" s="2552"/>
      <c r="AB48" s="2552"/>
      <c r="AC48" s="2553"/>
      <c r="AD48" s="2551"/>
      <c r="AE48" s="2552"/>
      <c r="AF48" s="2552"/>
      <c r="AG48" s="2552"/>
      <c r="AH48" s="2552"/>
      <c r="AI48" s="2552"/>
      <c r="AJ48" s="2552"/>
      <c r="AK48" s="2552"/>
      <c r="AL48" s="2553"/>
      <c r="AM48" s="1174" t="s">
        <v>407</v>
      </c>
      <c r="AO48" s="436"/>
      <c r="AP48" s="436" t="str">
        <f t="shared" si="1"/>
        <v>Группа потребителей</v>
      </c>
      <c r="AQ48" s="436"/>
      <c r="AR48" s="436"/>
      <c r="AS48" s="1071">
        <v>21</v>
      </c>
    </row>
    <row r="49" spans="1:45" ht="21.95" customHeight="1">
      <c r="A49" s="1279" t="s">
        <v>181</v>
      </c>
      <c r="B49" s="1279" t="s">
        <v>182</v>
      </c>
      <c r="C49" s="1279" t="s">
        <v>183</v>
      </c>
      <c r="D49" s="1279" t="s">
        <v>184</v>
      </c>
      <c r="E49" s="2564"/>
      <c r="F49" s="2564"/>
      <c r="G49" s="2564"/>
      <c r="H49" s="2564"/>
      <c r="I49" s="2566"/>
      <c r="J49" s="2566"/>
      <c r="K49" s="2565" t="str">
        <f>J48&amp;".1"</f>
        <v>....1.1</v>
      </c>
      <c r="L49" s="1280" t="s">
        <v>408</v>
      </c>
      <c r="P49" s="2567"/>
      <c r="Q49" s="2567"/>
      <c r="R49" s="293">
        <v>1</v>
      </c>
      <c r="S49" s="1252" t="str">
        <f>$K49</f>
        <v>....1.1</v>
      </c>
      <c r="T49" s="1263"/>
      <c r="U49" s="237"/>
      <c r="V49" s="687"/>
      <c r="W49" s="262"/>
      <c r="X49" s="687"/>
      <c r="Y49" s="1173"/>
      <c r="Z49" s="2568"/>
      <c r="AA49" s="2445" t="s">
        <v>62</v>
      </c>
      <c r="AB49" s="2568"/>
      <c r="AC49" s="2445" t="s">
        <v>62</v>
      </c>
      <c r="AD49" s="687"/>
      <c r="AE49" s="262"/>
      <c r="AF49" s="687"/>
      <c r="AG49" s="1173"/>
      <c r="AH49" s="2568"/>
      <c r="AI49" s="2445" t="s">
        <v>62</v>
      </c>
      <c r="AJ49" s="2570"/>
      <c r="AK49" s="2445" t="s">
        <v>62</v>
      </c>
      <c r="AL49" s="1264"/>
      <c r="AM49" s="2586" t="s">
        <v>450</v>
      </c>
      <c r="AN49" s="447" t="e">
        <f ca="1">STRCHECKDATE(V50:AL50)</f>
        <v>#NAME?</v>
      </c>
      <c r="AO49" s="436"/>
      <c r="AP49" s="436" t="str">
        <f t="shared" si="1"/>
        <v/>
      </c>
      <c r="AQ49" s="436"/>
      <c r="AR49" s="436"/>
      <c r="AS49" s="1071">
        <v>21</v>
      </c>
    </row>
    <row r="50" spans="1:45" ht="1.1499999999999999" customHeight="1">
      <c r="A50" s="1279" t="s">
        <v>181</v>
      </c>
      <c r="B50" s="1279" t="s">
        <v>182</v>
      </c>
      <c r="C50" s="1279" t="s">
        <v>183</v>
      </c>
      <c r="D50" s="1279" t="s">
        <v>184</v>
      </c>
      <c r="E50" s="2564"/>
      <c r="F50" s="2564"/>
      <c r="G50" s="2564"/>
      <c r="H50" s="2564"/>
      <c r="I50" s="2566"/>
      <c r="J50" s="2566"/>
      <c r="K50" s="2565"/>
      <c r="L50" s="1280"/>
      <c r="P50" s="2567"/>
      <c r="Q50" s="2567"/>
      <c r="R50" s="293"/>
      <c r="S50" s="1258"/>
      <c r="T50" s="237"/>
      <c r="U50" s="237"/>
      <c r="V50" s="262"/>
      <c r="W50" s="262"/>
      <c r="X50" s="262"/>
      <c r="Y50" s="265" t="str">
        <f>Z49&amp;"-"&amp;AB49</f>
        <v>-</v>
      </c>
      <c r="Z50" s="2569"/>
      <c r="AA50" s="2445"/>
      <c r="AB50" s="2569"/>
      <c r="AC50" s="2445"/>
      <c r="AD50" s="262"/>
      <c r="AE50" s="262"/>
      <c r="AF50" s="262"/>
      <c r="AG50" s="265" t="str">
        <f>AH49&amp;"-"&amp;AJ49</f>
        <v>-</v>
      </c>
      <c r="AH50" s="2569"/>
      <c r="AI50" s="2445"/>
      <c r="AJ50" s="2571"/>
      <c r="AK50" s="2445"/>
      <c r="AL50" s="1265"/>
      <c r="AM50" s="2587"/>
      <c r="AO50" s="436"/>
      <c r="AP50" s="436" t="str">
        <f t="shared" si="1"/>
        <v/>
      </c>
      <c r="AQ50" s="436"/>
      <c r="AR50" s="436"/>
      <c r="AS50" s="1071">
        <v>1</v>
      </c>
    </row>
    <row r="51" spans="1:45" ht="11.45" customHeight="1">
      <c r="A51" s="1279" t="s">
        <v>181</v>
      </c>
      <c r="B51" s="1279" t="s">
        <v>182</v>
      </c>
      <c r="C51" s="1279" t="s">
        <v>183</v>
      </c>
      <c r="D51" s="1279" t="s">
        <v>184</v>
      </c>
      <c r="E51" s="2564"/>
      <c r="F51" s="2564"/>
      <c r="G51" s="2564"/>
      <c r="H51" s="2564"/>
      <c r="I51" s="2566"/>
      <c r="J51" s="2565"/>
      <c r="K51" s="1279"/>
      <c r="L51" s="1280"/>
      <c r="P51" s="2567"/>
      <c r="Q51" s="2567"/>
      <c r="R51" s="292"/>
      <c r="S51" s="1194"/>
      <c r="T51" s="224" t="s">
        <v>410</v>
      </c>
      <c r="U51" s="303"/>
      <c r="V51" s="303"/>
      <c r="W51" s="303"/>
      <c r="X51" s="303"/>
      <c r="Y51" s="303"/>
      <c r="Z51" s="303"/>
      <c r="AA51" s="303"/>
      <c r="AB51" s="303"/>
      <c r="AC51" s="303"/>
      <c r="AD51" s="303"/>
      <c r="AE51" s="303"/>
      <c r="AF51" s="303"/>
      <c r="AG51" s="303"/>
      <c r="AH51" s="303"/>
      <c r="AI51" s="303"/>
      <c r="AJ51" s="303"/>
      <c r="AK51" s="303"/>
      <c r="AL51" s="261"/>
      <c r="AM51" s="2588"/>
      <c r="AO51" s="436"/>
      <c r="AP51" s="436" t="str">
        <f t="shared" si="1"/>
        <v>Добавить вид теплоносителя (параметры теплоносителя)</v>
      </c>
      <c r="AQ51" s="436"/>
      <c r="AR51" s="436"/>
      <c r="AS51" s="1071">
        <v>11</v>
      </c>
    </row>
    <row r="52" spans="1:45" ht="11.45" customHeight="1">
      <c r="A52" s="1279" t="s">
        <v>181</v>
      </c>
      <c r="B52" s="1279" t="s">
        <v>182</v>
      </c>
      <c r="C52" s="1279" t="s">
        <v>183</v>
      </c>
      <c r="D52" s="1279" t="s">
        <v>184</v>
      </c>
      <c r="E52" s="2564"/>
      <c r="F52" s="2564"/>
      <c r="G52" s="2564"/>
      <c r="H52" s="2564"/>
      <c r="I52" s="2565"/>
      <c r="J52" s="1279"/>
      <c r="K52" s="1279"/>
      <c r="L52" s="1280"/>
      <c r="P52" s="2567"/>
      <c r="Q52" s="1247"/>
      <c r="R52" s="292"/>
      <c r="S52" s="119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181</v>
      </c>
      <c r="B53" s="1279" t="s">
        <v>182</v>
      </c>
      <c r="C53" s="1279" t="s">
        <v>183</v>
      </c>
      <c r="D53" s="1279" t="s">
        <v>184</v>
      </c>
      <c r="E53" s="2564"/>
      <c r="F53" s="2564"/>
      <c r="G53" s="2564"/>
      <c r="H53" s="2563"/>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344" customFormat="1" ht="1.1499999999999999" customHeight="1">
      <c r="A54" s="1259" t="s">
        <v>181</v>
      </c>
      <c r="B54" s="1259" t="s">
        <v>182</v>
      </c>
      <c r="C54" s="1259" t="s">
        <v>183</v>
      </c>
      <c r="D54" s="1230"/>
      <c r="E54" s="2564"/>
      <c r="F54" s="2564"/>
      <c r="G54" s="2563"/>
      <c r="H54" s="1230"/>
      <c r="I54" s="1230"/>
      <c r="J54" s="1230"/>
      <c r="K54" s="1230"/>
      <c r="L54" s="1255"/>
      <c r="M54" s="1231"/>
      <c r="N54" s="1231"/>
      <c r="P54" s="1232"/>
      <c r="Q54" s="1233"/>
      <c r="R54" s="1232"/>
      <c r="S54" s="1238"/>
      <c r="T54" s="1241" t="s">
        <v>413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1</v>
      </c>
    </row>
    <row r="55" spans="1:45" s="2344" customFormat="1" ht="1.1499999999999999" customHeight="1">
      <c r="A55" s="1259" t="s">
        <v>181</v>
      </c>
      <c r="B55" s="1259" t="s">
        <v>182</v>
      </c>
      <c r="C55" s="1230"/>
      <c r="D55" s="1230"/>
      <c r="E55" s="2564"/>
      <c r="F55" s="2563"/>
      <c r="G55" s="1230"/>
      <c r="H55" s="1230"/>
      <c r="I55" s="1230"/>
      <c r="J55" s="1230"/>
      <c r="K55" s="1230"/>
      <c r="L55" s="1255"/>
      <c r="M55" s="1237"/>
      <c r="N55" s="1237"/>
      <c r="P55" s="1232"/>
      <c r="Q55" s="1233"/>
      <c r="R55" s="1232"/>
      <c r="S55" s="1238"/>
      <c r="T55" s="1241" t="s">
        <v>414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1</v>
      </c>
    </row>
    <row r="56" spans="1:45" s="2344" customFormat="1" ht="1.1499999999999999" customHeight="1">
      <c r="A56" s="1259" t="s">
        <v>181</v>
      </c>
      <c r="B56" s="1259"/>
      <c r="C56" s="1259"/>
      <c r="D56" s="1259"/>
      <c r="E56" s="2563"/>
      <c r="F56" s="1259"/>
      <c r="G56" s="1259"/>
      <c r="H56" s="1259"/>
      <c r="I56" s="1259"/>
      <c r="J56" s="1259"/>
      <c r="K56" s="1259"/>
      <c r="L56" s="1262"/>
      <c r="M56" s="1237"/>
      <c r="N56" s="1237"/>
      <c r="O56" s="454"/>
      <c r="P56" s="316"/>
      <c r="Q56" s="1260"/>
      <c r="R56" s="316"/>
      <c r="S56" s="1238"/>
      <c r="T56" s="1241" t="s">
        <v>415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1</v>
      </c>
    </row>
    <row r="57" spans="1:45" s="2344" customFormat="1" ht="1.1499999999999999" customHeight="1">
      <c r="A57" s="1230"/>
      <c r="B57" s="1230"/>
      <c r="C57" s="1230"/>
      <c r="D57" s="1230"/>
      <c r="E57" s="1259"/>
      <c r="F57" s="1230"/>
      <c r="G57" s="1230"/>
      <c r="H57" s="1230"/>
      <c r="I57" s="1230"/>
      <c r="J57" s="1230"/>
      <c r="K57" s="1230"/>
      <c r="L57" s="1255"/>
      <c r="M57" s="1237"/>
      <c r="N57" s="1237"/>
      <c r="P57" s="1232"/>
      <c r="Q57" s="1233"/>
      <c r="R57" s="1232"/>
      <c r="S57" s="1238"/>
      <c r="T57" s="1241" t="s">
        <v>447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1</v>
      </c>
    </row>
    <row r="58" spans="1:45" ht="11.45" customHeight="1">
      <c r="M58" s="1076"/>
      <c r="N58" s="1076"/>
      <c r="O58" s="473"/>
      <c r="P58" s="1071"/>
      <c r="Q58" s="1071"/>
      <c r="R58" s="1071"/>
      <c r="S58" s="1071"/>
      <c r="AN58" s="1071"/>
      <c r="AO58" s="1071"/>
      <c r="AP58" s="1071"/>
      <c r="AQ58" s="1071"/>
      <c r="AR58" s="1071"/>
      <c r="AS58" s="1071">
        <v>11</v>
      </c>
    </row>
    <row r="59" spans="1:45" ht="23.25" customHeight="1">
      <c r="O59" s="473"/>
      <c r="S59" s="1169"/>
      <c r="T59" s="2562"/>
      <c r="U59" s="2562"/>
      <c r="V59" s="2562"/>
      <c r="W59" s="2562"/>
      <c r="X59" s="2562"/>
      <c r="Y59" s="2562"/>
      <c r="Z59" s="2562"/>
      <c r="AA59" s="2562"/>
      <c r="AB59" s="2562"/>
      <c r="AC59" s="2562"/>
      <c r="AD59" s="2562"/>
      <c r="AE59" s="2562"/>
      <c r="AF59" s="2562"/>
      <c r="AG59" s="2562"/>
      <c r="AH59" s="2562"/>
      <c r="AI59" s="2562"/>
      <c r="AJ59" s="2562"/>
      <c r="AK59" s="2562"/>
      <c r="AL59" s="2562"/>
      <c r="AM59" s="2562"/>
      <c r="AS59" s="1071">
        <v>22</v>
      </c>
    </row>
    <row r="60" spans="1:45" ht="30.4" customHeight="1">
      <c r="O60" s="473"/>
      <c r="T60" s="2562"/>
      <c r="U60" s="2562"/>
      <c r="V60" s="2562"/>
      <c r="W60" s="2562"/>
      <c r="X60" s="2562"/>
      <c r="Y60" s="2562"/>
      <c r="Z60" s="2562"/>
      <c r="AA60" s="2562"/>
      <c r="AB60" s="2562"/>
      <c r="AC60" s="2562"/>
      <c r="AD60" s="2562"/>
      <c r="AE60" s="2562"/>
      <c r="AF60" s="2562"/>
      <c r="AG60" s="2562"/>
      <c r="AH60" s="2562"/>
      <c r="AI60" s="2562"/>
      <c r="AJ60" s="2562"/>
      <c r="AK60" s="2562"/>
      <c r="AL60" s="2562"/>
      <c r="AM60" s="2562"/>
      <c r="AS60" s="1071">
        <v>29</v>
      </c>
    </row>
    <row r="61" spans="1:45" ht="42" customHeight="1">
      <c r="O61" s="473"/>
      <c r="T61" s="2562"/>
      <c r="U61" s="2562"/>
      <c r="V61" s="2562"/>
      <c r="W61" s="2562"/>
      <c r="X61" s="2562"/>
      <c r="Y61" s="2562"/>
      <c r="Z61" s="2562"/>
      <c r="AA61" s="2562"/>
      <c r="AB61" s="2562"/>
      <c r="AC61" s="2562"/>
      <c r="AD61" s="2562"/>
      <c r="AE61" s="2562"/>
      <c r="AF61" s="2562"/>
      <c r="AG61" s="2562"/>
      <c r="AH61" s="2562"/>
      <c r="AI61" s="2562"/>
      <c r="AJ61" s="2562"/>
      <c r="AK61" s="2562"/>
      <c r="AL61" s="2562"/>
      <c r="AM61" s="2562"/>
      <c r="AS61" s="1071">
        <v>40</v>
      </c>
    </row>
    <row r="62" spans="1:45" ht="14.65" customHeight="1">
      <c r="O62" s="473"/>
      <c r="AS62" s="1071">
        <v>14</v>
      </c>
    </row>
    <row r="63" spans="1:45" ht="21" customHeight="1">
      <c r="O63" s="473"/>
      <c r="S63" s="1169"/>
      <c r="T63" s="2475"/>
      <c r="U63" s="2562"/>
      <c r="V63" s="2562"/>
      <c r="W63" s="2562"/>
      <c r="X63" s="2562"/>
      <c r="Y63" s="2562"/>
      <c r="Z63" s="2562"/>
      <c r="AA63" s="2562"/>
      <c r="AB63" s="2562"/>
      <c r="AC63" s="2562"/>
      <c r="AD63" s="2562"/>
      <c r="AE63" s="2562"/>
      <c r="AF63" s="2562"/>
      <c r="AG63" s="2562"/>
      <c r="AH63" s="2562"/>
      <c r="AI63" s="2562"/>
      <c r="AJ63" s="2562"/>
      <c r="AK63" s="2562"/>
      <c r="AL63" s="2562"/>
      <c r="AM63" s="2562"/>
      <c r="AS63" s="1071">
        <v>20</v>
      </c>
    </row>
    <row r="64" spans="1:45" ht="29.25" customHeight="1">
      <c r="O64" s="473"/>
      <c r="T64" s="2562"/>
      <c r="U64" s="2562"/>
      <c r="V64" s="2562"/>
      <c r="W64" s="2562"/>
      <c r="X64" s="2562"/>
      <c r="Y64" s="2562"/>
      <c r="Z64" s="2562"/>
      <c r="AA64" s="2562"/>
      <c r="AB64" s="2562"/>
      <c r="AC64" s="2562"/>
      <c r="AD64" s="2562"/>
      <c r="AE64" s="2562"/>
      <c r="AF64" s="2562"/>
      <c r="AG64" s="2562"/>
      <c r="AH64" s="2562"/>
      <c r="AI64" s="2562"/>
      <c r="AJ64" s="2562"/>
      <c r="AK64" s="2562"/>
      <c r="AL64" s="2562"/>
      <c r="AM64" s="2562"/>
      <c r="AS64" s="1071">
        <v>28</v>
      </c>
    </row>
    <row r="65" spans="1:45" ht="35.65" customHeight="1">
      <c r="T65" s="2562"/>
      <c r="U65" s="2562"/>
      <c r="V65" s="2562"/>
      <c r="W65" s="2562"/>
      <c r="X65" s="2562"/>
      <c r="Y65" s="2562"/>
      <c r="Z65" s="2562"/>
      <c r="AA65" s="2562"/>
      <c r="AB65" s="2562"/>
      <c r="AC65" s="2562"/>
      <c r="AD65" s="2562"/>
      <c r="AE65" s="2562"/>
      <c r="AF65" s="2562"/>
      <c r="AG65" s="2562"/>
      <c r="AH65" s="2562"/>
      <c r="AI65" s="2562"/>
      <c r="AJ65" s="2562"/>
      <c r="AK65" s="2562"/>
      <c r="AL65" s="2562"/>
      <c r="AM65" s="2562"/>
      <c r="AS65" s="1071">
        <v>34</v>
      </c>
    </row>
    <row r="66" spans="1:45" ht="22.5" hidden="1" customHeight="1">
      <c r="A66" s="1076" t="s">
        <v>82</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7109375" style="2392" hidden="1" customWidth="1"/>
    <col min="17" max="18" width="3" style="2359" customWidth="1"/>
    <col min="19" max="19" width="12" style="2387" customWidth="1"/>
    <col min="20" max="20" width="31" style="2360" customWidth="1"/>
    <col min="21" max="21" width="0.140625" style="2360" customWidth="1"/>
    <col min="22" max="22" width="24.7109375" style="2360" hidden="1" customWidth="1"/>
    <col min="23" max="23" width="0.140625" style="2360" hidden="1" customWidth="1"/>
    <col min="24" max="25" width="24.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24.7109375" style="2360" customWidth="1"/>
    <col min="31" max="31" width="0.140625" style="2360" customWidth="1"/>
    <col min="32" max="33" width="24" style="2360" customWidth="1"/>
    <col min="34" max="34" width="11" style="2360" customWidth="1"/>
    <col min="35" max="35" width="3.7109375" style="2360" customWidth="1"/>
    <col min="36" max="36" width="11" style="2360" customWidth="1"/>
    <col min="37" max="37" width="8.5703125" style="2360" hidden="1" customWidth="1"/>
    <col min="38" max="38" width="4" style="2360" customWidth="1"/>
    <col min="39" max="39" width="115" style="2360" customWidth="1"/>
    <col min="40" max="44" width="10" style="2344" customWidth="1"/>
    <col min="45" max="45" width="10.5703125" style="2360" hidden="1"/>
  </cols>
  <sheetData>
    <row r="1" spans="1:45" ht="22.5" hidden="1" customHeight="1">
      <c r="Y1" s="264"/>
      <c r="Z1" s="264"/>
      <c r="AG1" s="264"/>
      <c r="AH1" s="264"/>
      <c r="AS1" s="1071" t="s">
        <v>14</v>
      </c>
    </row>
    <row r="2" spans="1:45" ht="21" hidden="1" customHeight="1">
      <c r="A2" s="1279"/>
      <c r="B2" s="1279"/>
      <c r="C2" s="1279"/>
      <c r="D2" s="1279"/>
      <c r="E2" s="2563">
        <v>1</v>
      </c>
      <c r="F2" s="1279"/>
      <c r="G2" s="1279"/>
      <c r="H2" s="1279"/>
      <c r="I2" s="1279"/>
      <c r="J2" s="1279"/>
      <c r="K2" s="1279"/>
      <c r="L2" s="1280"/>
      <c r="M2" s="1281"/>
      <c r="N2" s="1281"/>
      <c r="O2" s="1281"/>
      <c r="P2" s="297"/>
      <c r="Q2" s="296"/>
      <c r="R2" s="291"/>
      <c r="S2" s="1252" t="e">
        <f>INDEX(PT_DIFFERENTIATION_NUM_NTAR,MATCH(A2,PT_DIFFERENTIATION_NTAR_ID,0))</f>
        <v>#N/A</v>
      </c>
      <c r="T2" s="235" t="s">
        <v>124</v>
      </c>
      <c r="U2" s="237"/>
      <c r="V2" s="2557"/>
      <c r="W2" s="2558"/>
      <c r="X2" s="2558"/>
      <c r="Y2" s="2558"/>
      <c r="Z2" s="2558"/>
      <c r="AA2" s="2558"/>
      <c r="AB2" s="2558"/>
      <c r="AC2" s="2559"/>
      <c r="AD2" s="2557" t="e">
        <f>INDEX(PT_DIFFERENTIATION_NTAR,MATCH(A2,PT_DIFFERENTIATION_NTAR_ID,0))</f>
        <v>#N/A</v>
      </c>
      <c r="AE2" s="2558"/>
      <c r="AF2" s="2558"/>
      <c r="AG2" s="2558"/>
      <c r="AH2" s="2558"/>
      <c r="AI2" s="2558"/>
      <c r="AJ2" s="2558"/>
      <c r="AK2" s="2558"/>
      <c r="AL2" s="2559"/>
      <c r="AM2" s="1174" t="s">
        <v>395</v>
      </c>
      <c r="AO2" s="436"/>
      <c r="AP2" s="436" t="str">
        <f t="shared" ref="AP2:AP15" si="0">IF(T2="","",T2)</f>
        <v>Наименование тарифа</v>
      </c>
      <c r="AQ2" s="436"/>
      <c r="AR2" s="436"/>
      <c r="AS2" s="1071">
        <v>0</v>
      </c>
    </row>
    <row r="3" spans="1:45" ht="21" hidden="1" customHeight="1">
      <c r="A3" s="1279"/>
      <c r="B3" s="1279"/>
      <c r="C3" s="1279"/>
      <c r="D3" s="1279"/>
      <c r="E3" s="2564"/>
      <c r="F3" s="2563">
        <v>1</v>
      </c>
      <c r="G3" s="1279"/>
      <c r="H3" s="1279"/>
      <c r="I3" s="1279"/>
      <c r="J3" s="1279"/>
      <c r="K3" s="1279"/>
      <c r="L3" s="1280"/>
      <c r="M3" s="1281"/>
      <c r="N3" s="1281"/>
      <c r="O3" s="1281"/>
      <c r="P3" s="1248"/>
      <c r="Q3" s="288"/>
      <c r="R3" s="289"/>
      <c r="S3" s="1252" t="e">
        <f>INDEX(PT_DIFFERENTIATION_NUM_TER,MATCH(B3,PT_DIFFERENTIATION_TER_ID,0))</f>
        <v>#N/A</v>
      </c>
      <c r="T3" s="245" t="s">
        <v>396</v>
      </c>
      <c r="U3" s="237"/>
      <c r="V3" s="2557"/>
      <c r="W3" s="2558"/>
      <c r="X3" s="2558"/>
      <c r="Y3" s="2558"/>
      <c r="Z3" s="2558"/>
      <c r="AA3" s="2558"/>
      <c r="AB3" s="2558"/>
      <c r="AC3" s="2559"/>
      <c r="AD3" s="2557" t="e">
        <f>INDEX(PT_DIFFERENTIATION_TER,MATCH(B3,PT_DIFFERENTIATION_TER_ID,0))</f>
        <v>#N/A</v>
      </c>
      <c r="AE3" s="2558"/>
      <c r="AF3" s="2558"/>
      <c r="AG3" s="2558"/>
      <c r="AH3" s="2558"/>
      <c r="AI3" s="2558"/>
      <c r="AJ3" s="2558"/>
      <c r="AK3" s="2558"/>
      <c r="AL3" s="2559"/>
      <c r="AM3" s="1174" t="s">
        <v>397</v>
      </c>
      <c r="AO3" s="436"/>
      <c r="AP3" s="436" t="str">
        <f t="shared" si="0"/>
        <v>Территория действия тарифа</v>
      </c>
      <c r="AQ3" s="436"/>
      <c r="AR3" s="436"/>
      <c r="AS3" s="1071">
        <v>0</v>
      </c>
    </row>
    <row r="4" spans="1:45" ht="23.25" hidden="1" customHeight="1">
      <c r="A4" s="1279"/>
      <c r="B4" s="1279"/>
      <c r="C4" s="1279"/>
      <c r="D4" s="1279"/>
      <c r="E4" s="2564"/>
      <c r="F4" s="2564"/>
      <c r="G4" s="2563">
        <v>1</v>
      </c>
      <c r="H4" s="1279"/>
      <c r="I4" s="1279"/>
      <c r="J4" s="1279"/>
      <c r="K4" s="1279"/>
      <c r="L4" s="1280"/>
      <c r="M4" s="1281"/>
      <c r="N4" s="1281"/>
      <c r="O4" s="1281"/>
      <c r="P4" s="290"/>
      <c r="Q4" s="288"/>
      <c r="R4" s="289"/>
      <c r="S4" s="1252" t="e">
        <f>INDEX(PT_DIFFERENTIATION_NUM_CS,MATCH(C4,PT_DIFFERENTIATION_CS_ID,0))</f>
        <v>#N/A</v>
      </c>
      <c r="T4" s="246" t="s">
        <v>398</v>
      </c>
      <c r="U4" s="237"/>
      <c r="V4" s="2557"/>
      <c r="W4" s="2558"/>
      <c r="X4" s="2558"/>
      <c r="Y4" s="2558"/>
      <c r="Z4" s="2558"/>
      <c r="AA4" s="2558"/>
      <c r="AB4" s="2558"/>
      <c r="AC4" s="2559"/>
      <c r="AD4" s="2557" t="e">
        <f>INDEX(PT_DIFFERENTIATION_CS,MATCH(C4,PT_DIFFERENTIATION_CS_ID,0))</f>
        <v>#N/A</v>
      </c>
      <c r="AE4" s="2558"/>
      <c r="AF4" s="2558"/>
      <c r="AG4" s="2558"/>
      <c r="AH4" s="2558"/>
      <c r="AI4" s="2558"/>
      <c r="AJ4" s="2558"/>
      <c r="AK4" s="2558"/>
      <c r="AL4" s="2559"/>
      <c r="AM4" s="1174" t="s">
        <v>399</v>
      </c>
      <c r="AO4" s="436"/>
      <c r="AP4" s="436" t="str">
        <f t="shared" si="0"/>
        <v xml:space="preserve">Наименование системы теплоснабжения </v>
      </c>
      <c r="AQ4" s="436"/>
      <c r="AR4" s="436"/>
      <c r="AS4" s="1071">
        <v>0</v>
      </c>
    </row>
    <row r="5" spans="1:45" ht="21" hidden="1" customHeight="1">
      <c r="A5" s="1279"/>
      <c r="B5" s="1279"/>
      <c r="C5" s="1279"/>
      <c r="D5" s="1279"/>
      <c r="E5" s="2564"/>
      <c r="F5" s="2564"/>
      <c r="G5" s="2564"/>
      <c r="H5" s="2563">
        <v>1</v>
      </c>
      <c r="I5" s="1279"/>
      <c r="J5" s="1279"/>
      <c r="K5" s="1279"/>
      <c r="L5" s="1280"/>
      <c r="M5" s="1281"/>
      <c r="N5" s="1281"/>
      <c r="O5" s="1281"/>
      <c r="P5" s="290"/>
      <c r="Q5" s="288"/>
      <c r="R5" s="289"/>
      <c r="S5" s="1252" t="e">
        <f>INDEX(PT_DIFFERENTIATION_NUM_IST_TE,MATCH(D5,PT_DIFFERENTIATION_IST_TE_ID,0))</f>
        <v>#N/A</v>
      </c>
      <c r="T5" s="247" t="s">
        <v>400</v>
      </c>
      <c r="U5" s="237"/>
      <c r="V5" s="2557"/>
      <c r="W5" s="2558"/>
      <c r="X5" s="2558"/>
      <c r="Y5" s="2558"/>
      <c r="Z5" s="2558"/>
      <c r="AA5" s="2558"/>
      <c r="AB5" s="2558"/>
      <c r="AC5" s="2559"/>
      <c r="AD5" s="2557" t="e">
        <f>INDEX(PT_DIFFERENTIATION_IST_TE,MATCH(D5,PT_DIFFERENTIATION_IST_TE_ID,0))</f>
        <v>#N/A</v>
      </c>
      <c r="AE5" s="2558"/>
      <c r="AF5" s="2558"/>
      <c r="AG5" s="2558"/>
      <c r="AH5" s="2558"/>
      <c r="AI5" s="2558"/>
      <c r="AJ5" s="2558"/>
      <c r="AK5" s="2558"/>
      <c r="AL5" s="2559"/>
      <c r="AM5" s="1174" t="s">
        <v>401</v>
      </c>
      <c r="AO5" s="436"/>
      <c r="AP5" s="436" t="str">
        <f t="shared" si="0"/>
        <v xml:space="preserve">Источник тепловой энергии  </v>
      </c>
      <c r="AQ5" s="436"/>
      <c r="AR5" s="436"/>
      <c r="AS5" s="1071">
        <v>0</v>
      </c>
    </row>
    <row r="6" spans="1:45" ht="14.25" hidden="1" customHeight="1">
      <c r="A6" s="1279"/>
      <c r="B6" s="1279"/>
      <c r="C6" s="1279"/>
      <c r="D6" s="1279"/>
      <c r="E6" s="2564"/>
      <c r="F6" s="2564"/>
      <c r="G6" s="2564"/>
      <c r="H6" s="2564"/>
      <c r="I6" s="2565" t="e">
        <f>S5&amp;".1"</f>
        <v>#N/A</v>
      </c>
      <c r="J6" s="1279"/>
      <c r="K6" s="1279"/>
      <c r="L6" s="1280" t="s">
        <v>402</v>
      </c>
      <c r="M6" s="473"/>
      <c r="P6" s="2567">
        <v>1</v>
      </c>
      <c r="Q6" s="1247"/>
      <c r="R6" s="292"/>
      <c r="S6" s="964"/>
      <c r="T6" s="1299"/>
      <c r="U6" s="1300"/>
      <c r="V6" s="2594"/>
      <c r="W6" s="2595"/>
      <c r="X6" s="2595"/>
      <c r="Y6" s="2595"/>
      <c r="Z6" s="2595"/>
      <c r="AA6" s="2595"/>
      <c r="AB6" s="2595"/>
      <c r="AC6" s="2596"/>
      <c r="AD6" s="2594"/>
      <c r="AE6" s="2595"/>
      <c r="AF6" s="2595"/>
      <c r="AG6" s="2595"/>
      <c r="AH6" s="2595"/>
      <c r="AI6" s="2595"/>
      <c r="AJ6" s="2595"/>
      <c r="AK6" s="2595"/>
      <c r="AL6" s="2596"/>
      <c r="AM6" s="1301"/>
      <c r="AO6" s="436"/>
      <c r="AP6" s="436" t="str">
        <f t="shared" si="0"/>
        <v/>
      </c>
      <c r="AQ6" s="436"/>
      <c r="AR6" s="436"/>
      <c r="AS6" s="1071">
        <v>0</v>
      </c>
    </row>
    <row r="7" spans="1:45" ht="21" hidden="1" customHeight="1">
      <c r="A7" s="1279"/>
      <c r="B7" s="1279"/>
      <c r="C7" s="1279"/>
      <c r="D7" s="1279"/>
      <c r="E7" s="2564"/>
      <c r="F7" s="2564"/>
      <c r="G7" s="2564"/>
      <c r="H7" s="2564"/>
      <c r="I7" s="2566"/>
      <c r="J7" s="2565" t="e">
        <f>I6&amp;".1"</f>
        <v>#N/A</v>
      </c>
      <c r="K7" s="1279"/>
      <c r="L7" s="1280" t="s">
        <v>405</v>
      </c>
      <c r="M7" s="473"/>
      <c r="N7" s="1282"/>
      <c r="P7" s="2567"/>
      <c r="Q7" s="2567">
        <v>1</v>
      </c>
      <c r="R7" s="293"/>
      <c r="S7" s="1252" t="e">
        <f>$J7</f>
        <v>#N/A</v>
      </c>
      <c r="T7" s="223" t="s">
        <v>406</v>
      </c>
      <c r="U7" s="237"/>
      <c r="V7" s="2551"/>
      <c r="W7" s="2552"/>
      <c r="X7" s="2552"/>
      <c r="Y7" s="2552"/>
      <c r="Z7" s="2552"/>
      <c r="AA7" s="2552"/>
      <c r="AB7" s="2552"/>
      <c r="AC7" s="2553"/>
      <c r="AD7" s="2551"/>
      <c r="AE7" s="2552"/>
      <c r="AF7" s="2552"/>
      <c r="AG7" s="2552"/>
      <c r="AH7" s="2552"/>
      <c r="AI7" s="2552"/>
      <c r="AJ7" s="2552"/>
      <c r="AK7" s="2552"/>
      <c r="AL7" s="2553"/>
      <c r="AM7" s="1174" t="s">
        <v>407</v>
      </c>
      <c r="AO7" s="436"/>
      <c r="AP7" s="436" t="str">
        <f t="shared" si="0"/>
        <v>Группа потребителей</v>
      </c>
      <c r="AQ7" s="436"/>
      <c r="AR7" s="436"/>
      <c r="AS7" s="1071">
        <v>0</v>
      </c>
    </row>
    <row r="8" spans="1:45" ht="21" hidden="1" customHeight="1">
      <c r="A8" s="1279"/>
      <c r="B8" s="1279"/>
      <c r="C8" s="1279"/>
      <c r="D8" s="1279"/>
      <c r="E8" s="2564"/>
      <c r="F8" s="2564"/>
      <c r="G8" s="2564"/>
      <c r="H8" s="2564"/>
      <c r="I8" s="2566"/>
      <c r="J8" s="2566"/>
      <c r="K8" s="2565" t="e">
        <f>J7&amp;".1"</f>
        <v>#N/A</v>
      </c>
      <c r="L8" s="1280" t="s">
        <v>408</v>
      </c>
      <c r="M8" s="473"/>
      <c r="N8" s="1282"/>
      <c r="O8" s="1282"/>
      <c r="P8" s="2567"/>
      <c r="Q8" s="2567"/>
      <c r="R8" s="293">
        <v>1</v>
      </c>
      <c r="S8" s="1252" t="e">
        <f>$K8</f>
        <v>#N/A</v>
      </c>
      <c r="T8" s="1263"/>
      <c r="U8" s="237"/>
      <c r="V8" s="687"/>
      <c r="W8" s="262"/>
      <c r="X8" s="687"/>
      <c r="Y8" s="1173"/>
      <c r="Z8" s="2568"/>
      <c r="AA8" s="2445" t="s">
        <v>62</v>
      </c>
      <c r="AB8" s="2568"/>
      <c r="AC8" s="2445" t="s">
        <v>62</v>
      </c>
      <c r="AD8" s="687"/>
      <c r="AE8" s="262"/>
      <c r="AF8" s="687"/>
      <c r="AG8" s="1173"/>
      <c r="AH8" s="2568"/>
      <c r="AI8" s="2445" t="s">
        <v>62</v>
      </c>
      <c r="AJ8" s="2568"/>
      <c r="AK8" s="2445" t="s">
        <v>62</v>
      </c>
      <c r="AL8" s="262"/>
      <c r="AM8" s="2586" t="s">
        <v>409</v>
      </c>
      <c r="AN8" s="447" t="e">
        <f ca="1">STRCHECKDATE(V9:AL9)</f>
        <v>#NAME?</v>
      </c>
      <c r="AO8" s="436"/>
      <c r="AP8" s="436" t="str">
        <f t="shared" si="0"/>
        <v/>
      </c>
      <c r="AQ8" s="436"/>
      <c r="AR8" s="436"/>
      <c r="AS8" s="1071">
        <v>0</v>
      </c>
    </row>
    <row r="9" spans="1:45" ht="14.25" hidden="1" customHeight="1">
      <c r="A9" s="1279"/>
      <c r="B9" s="1279"/>
      <c r="C9" s="1279"/>
      <c r="D9" s="1279"/>
      <c r="E9" s="2564"/>
      <c r="F9" s="2564"/>
      <c r="G9" s="2564"/>
      <c r="H9" s="2564"/>
      <c r="I9" s="2566"/>
      <c r="J9" s="2566"/>
      <c r="K9" s="2565"/>
      <c r="L9" s="1280"/>
      <c r="M9" s="473"/>
      <c r="N9" s="1282"/>
      <c r="O9" s="1282"/>
      <c r="P9" s="2567"/>
      <c r="Q9" s="2567"/>
      <c r="R9" s="293"/>
      <c r="S9" s="1258"/>
      <c r="T9" s="237"/>
      <c r="U9" s="237"/>
      <c r="V9" s="262"/>
      <c r="W9" s="262"/>
      <c r="X9" s="262"/>
      <c r="Y9" s="265" t="str">
        <f>Z8&amp;"-"&amp;AB8</f>
        <v>-</v>
      </c>
      <c r="Z9" s="2569"/>
      <c r="AA9" s="2445"/>
      <c r="AB9" s="2569"/>
      <c r="AC9" s="2445"/>
      <c r="AD9" s="262"/>
      <c r="AE9" s="262"/>
      <c r="AF9" s="262"/>
      <c r="AG9" s="265" t="str">
        <f>AH8&amp;"-"&amp;AJ8</f>
        <v>-</v>
      </c>
      <c r="AH9" s="2569"/>
      <c r="AI9" s="2445"/>
      <c r="AJ9" s="2569"/>
      <c r="AK9" s="2445"/>
      <c r="AL9" s="262"/>
      <c r="AM9" s="2587"/>
      <c r="AO9" s="436"/>
      <c r="AP9" s="436" t="str">
        <f t="shared" si="0"/>
        <v/>
      </c>
      <c r="AQ9" s="436"/>
      <c r="AR9" s="436"/>
      <c r="AS9" s="1071">
        <v>0</v>
      </c>
    </row>
    <row r="10" spans="1:45" ht="15" hidden="1" customHeight="1">
      <c r="A10" s="1279"/>
      <c r="B10" s="1279"/>
      <c r="C10" s="1279"/>
      <c r="D10" s="1279"/>
      <c r="E10" s="2564"/>
      <c r="F10" s="2564"/>
      <c r="G10" s="2564"/>
      <c r="H10" s="2564"/>
      <c r="I10" s="2566"/>
      <c r="J10" s="2565"/>
      <c r="K10" s="1279"/>
      <c r="L10" s="1280"/>
      <c r="M10" s="473"/>
      <c r="N10" s="1282"/>
      <c r="P10" s="2567"/>
      <c r="Q10" s="2567"/>
      <c r="R10" s="292"/>
      <c r="S10" s="1194"/>
      <c r="T10" s="224" t="s">
        <v>410</v>
      </c>
      <c r="U10" s="303"/>
      <c r="V10" s="303"/>
      <c r="W10" s="303"/>
      <c r="X10" s="303"/>
      <c r="Y10" s="303"/>
      <c r="Z10" s="303"/>
      <c r="AA10" s="303"/>
      <c r="AB10" s="303"/>
      <c r="AC10" s="303"/>
      <c r="AD10" s="303"/>
      <c r="AE10" s="303"/>
      <c r="AF10" s="303"/>
      <c r="AG10" s="303"/>
      <c r="AH10" s="303"/>
      <c r="AI10" s="303"/>
      <c r="AJ10" s="303"/>
      <c r="AK10" s="303"/>
      <c r="AL10" s="261"/>
      <c r="AM10" s="2588"/>
      <c r="AO10" s="436"/>
      <c r="AP10" s="436" t="str">
        <f t="shared" si="0"/>
        <v>Добавить вид теплоносителя (параметры теплоносителя)</v>
      </c>
      <c r="AQ10" s="436"/>
      <c r="AR10" s="436"/>
      <c r="AS10" s="1071">
        <v>0</v>
      </c>
    </row>
    <row r="11" spans="1:45" ht="11.25" hidden="1" customHeight="1">
      <c r="A11" s="1279"/>
      <c r="B11" s="1279"/>
      <c r="C11" s="1279"/>
      <c r="D11" s="1279"/>
      <c r="E11" s="2564"/>
      <c r="F11" s="2564"/>
      <c r="G11" s="2564"/>
      <c r="H11" s="2564"/>
      <c r="I11" s="2565"/>
      <c r="J11" s="1279"/>
      <c r="K11" s="1279"/>
      <c r="L11" s="1280"/>
      <c r="M11" s="473"/>
      <c r="P11" s="2567"/>
      <c r="Q11" s="1247"/>
      <c r="R11" s="292"/>
      <c r="S11" s="119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1">
        <v>0</v>
      </c>
    </row>
    <row r="12" spans="1:45" ht="14.25" hidden="1" customHeight="1">
      <c r="A12" s="1279"/>
      <c r="B12" s="1279"/>
      <c r="C12" s="1279"/>
      <c r="D12" s="1279"/>
      <c r="E12" s="2564"/>
      <c r="F12" s="2564"/>
      <c r="G12" s="2564"/>
      <c r="H12" s="2563"/>
      <c r="I12" s="1279"/>
      <c r="J12" s="1279"/>
      <c r="K12" s="1279"/>
      <c r="L12" s="1280"/>
      <c r="M12" s="1281"/>
      <c r="N12" s="1281"/>
      <c r="O12" s="473"/>
      <c r="P12" s="296"/>
      <c r="Q12" s="311"/>
      <c r="R12" s="291"/>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36"/>
      <c r="AP12" s="436" t="str">
        <f t="shared" si="0"/>
        <v/>
      </c>
      <c r="AQ12" s="436"/>
      <c r="AR12" s="436"/>
      <c r="AS12" s="1071">
        <v>0</v>
      </c>
    </row>
    <row r="13" spans="1:45" s="2344" customFormat="1" ht="14.25" hidden="1" customHeight="1">
      <c r="A13" s="1230"/>
      <c r="B13" s="1230"/>
      <c r="C13" s="1230"/>
      <c r="D13" s="1230"/>
      <c r="E13" s="2564"/>
      <c r="F13" s="2564"/>
      <c r="G13" s="2563"/>
      <c r="H13" s="1230"/>
      <c r="I13" s="1230"/>
      <c r="J13" s="1230"/>
      <c r="K13" s="1230"/>
      <c r="L13" s="1255"/>
      <c r="M13" s="1231"/>
      <c r="N13" s="1231"/>
      <c r="P13" s="1232"/>
      <c r="Q13" s="1233"/>
      <c r="R13" s="1232"/>
      <c r="S13" s="1234"/>
      <c r="T13" s="1235" t="s">
        <v>413</v>
      </c>
      <c r="U13" s="1236"/>
      <c r="V13" s="1236"/>
      <c r="W13" s="1236"/>
      <c r="X13" s="1236"/>
      <c r="Y13" s="1236"/>
      <c r="Z13" s="1236"/>
      <c r="AA13" s="1236"/>
      <c r="AB13" s="1236"/>
      <c r="AC13" s="1236"/>
      <c r="AD13" s="1236"/>
      <c r="AE13" s="1236"/>
      <c r="AF13" s="1236"/>
      <c r="AG13" s="1236"/>
      <c r="AH13" s="1236"/>
      <c r="AI13" s="1236"/>
      <c r="AJ13" s="1236"/>
      <c r="AK13" s="1236"/>
      <c r="AL13" s="1236"/>
      <c r="AM13" s="1236"/>
      <c r="AO13" s="719"/>
      <c r="AP13" s="719" t="str">
        <f t="shared" si="0"/>
        <v>Добавить источник для дифференциации</v>
      </c>
      <c r="AQ13" s="719"/>
      <c r="AR13" s="719"/>
      <c r="AS13" s="454">
        <v>0</v>
      </c>
    </row>
    <row r="14" spans="1:45" s="2344" customFormat="1" ht="14.25" hidden="1" customHeight="1">
      <c r="A14" s="1230"/>
      <c r="B14" s="1230"/>
      <c r="C14" s="1230"/>
      <c r="D14" s="1230"/>
      <c r="E14" s="2564"/>
      <c r="F14" s="2563"/>
      <c r="G14" s="1230"/>
      <c r="H14" s="1230"/>
      <c r="I14" s="1230"/>
      <c r="J14" s="1230"/>
      <c r="K14" s="1230"/>
      <c r="L14" s="1255"/>
      <c r="M14" s="1237"/>
      <c r="N14" s="1237"/>
      <c r="P14" s="1232"/>
      <c r="Q14" s="1233"/>
      <c r="R14" s="1232"/>
      <c r="S14" s="1238"/>
      <c r="T14" s="1239" t="s">
        <v>414</v>
      </c>
      <c r="U14" s="1240"/>
      <c r="V14" s="1240"/>
      <c r="W14" s="1240"/>
      <c r="X14" s="1240"/>
      <c r="Y14" s="1240"/>
      <c r="Z14" s="1240"/>
      <c r="AA14" s="1240"/>
      <c r="AB14" s="1240"/>
      <c r="AC14" s="1240"/>
      <c r="AD14" s="1240"/>
      <c r="AE14" s="1240"/>
      <c r="AF14" s="1240"/>
      <c r="AG14" s="1240"/>
      <c r="AH14" s="1240"/>
      <c r="AI14" s="1240"/>
      <c r="AJ14" s="1240"/>
      <c r="AK14" s="1240"/>
      <c r="AL14" s="1240"/>
      <c r="AM14" s="1240"/>
      <c r="AO14" s="719"/>
      <c r="AP14" s="719" t="str">
        <f t="shared" si="0"/>
        <v>Добавить централизованную систему для дифференциации</v>
      </c>
      <c r="AQ14" s="719"/>
      <c r="AR14" s="719"/>
      <c r="AS14" s="454">
        <v>0</v>
      </c>
    </row>
    <row r="15" spans="1:45" s="2344" customFormat="1" ht="14.25" hidden="1" customHeight="1">
      <c r="A15" s="1230"/>
      <c r="B15" s="1230"/>
      <c r="C15" s="1230"/>
      <c r="D15" s="1230"/>
      <c r="E15" s="2563"/>
      <c r="F15" s="1230"/>
      <c r="G15" s="1230"/>
      <c r="H15" s="1230"/>
      <c r="I15" s="1230"/>
      <c r="J15" s="1230"/>
      <c r="K15" s="1230"/>
      <c r="L15" s="1255"/>
      <c r="M15" s="1237"/>
      <c r="N15" s="1237"/>
      <c r="P15" s="1232"/>
      <c r="Q15" s="1233"/>
      <c r="R15" s="1232"/>
      <c r="S15" s="1238"/>
      <c r="T15" s="1241" t="s">
        <v>415</v>
      </c>
      <c r="U15" s="1240"/>
      <c r="V15" s="1240"/>
      <c r="W15" s="1240"/>
      <c r="X15" s="1240"/>
      <c r="Y15" s="1240"/>
      <c r="Z15" s="1240"/>
      <c r="AA15" s="1240"/>
      <c r="AB15" s="1240"/>
      <c r="AC15" s="1240"/>
      <c r="AD15" s="1240"/>
      <c r="AE15" s="1240"/>
      <c r="AF15" s="1240"/>
      <c r="AG15" s="1240"/>
      <c r="AH15" s="1240"/>
      <c r="AI15" s="1240"/>
      <c r="AJ15" s="1240"/>
      <c r="AK15" s="1240"/>
      <c r="AL15" s="1240"/>
      <c r="AM15" s="1240"/>
      <c r="AO15" s="719"/>
      <c r="AP15" s="719" t="str">
        <f t="shared" si="0"/>
        <v>Добавить территорию для дифференциации</v>
      </c>
      <c r="AQ15" s="719"/>
      <c r="AR15" s="719"/>
      <c r="AS15" s="454">
        <v>0</v>
      </c>
    </row>
    <row r="16" spans="1:45" ht="14.25" hidden="1" customHeight="1">
      <c r="AC16" s="264"/>
      <c r="AK16" s="264"/>
      <c r="AS16" s="1071">
        <v>0</v>
      </c>
    </row>
    <row r="17" spans="1:45" ht="14.25" hidden="1" customHeight="1">
      <c r="AD17" s="1276"/>
      <c r="AE17" s="1276"/>
      <c r="AF17" s="1276"/>
      <c r="AG17" s="1277"/>
      <c r="AH17" s="2561"/>
      <c r="AI17" s="2560" t="s">
        <v>62</v>
      </c>
      <c r="AJ17" s="2561"/>
      <c r="AK17" s="2560" t="s">
        <v>62</v>
      </c>
      <c r="AS17" s="1071">
        <v>0</v>
      </c>
    </row>
    <row r="18" spans="1:45" ht="14.25" hidden="1" customHeight="1">
      <c r="AD18" s="1276"/>
      <c r="AE18" s="1276"/>
      <c r="AF18" s="1276"/>
      <c r="AG18" s="265" t="str">
        <f>AH17&amp;"-"&amp;AJ17</f>
        <v>-</v>
      </c>
      <c r="AH18" s="2560"/>
      <c r="AI18" s="2560"/>
      <c r="AJ18" s="2560"/>
      <c r="AK18" s="2560"/>
      <c r="AS18" s="1071">
        <v>0</v>
      </c>
    </row>
    <row r="19" spans="1:45" ht="14.25" hidden="1" customHeight="1">
      <c r="AK19" s="264"/>
      <c r="AS19" s="1071">
        <v>0</v>
      </c>
    </row>
    <row r="20" spans="1:45" s="2357" customFormat="1" ht="22.5" hidden="1" customHeight="1">
      <c r="L20" s="1245"/>
      <c r="M20" s="1278"/>
      <c r="N20" s="1278"/>
      <c r="O20" s="1283" t="s">
        <v>416</v>
      </c>
      <c r="P20" s="1278"/>
      <c r="Q20" s="1287"/>
      <c r="R20" s="1287"/>
      <c r="S20" s="665"/>
      <c r="Z20" s="1283"/>
      <c r="AB20" s="1283"/>
      <c r="AC20" s="1282"/>
      <c r="AH20" s="1283"/>
      <c r="AJ20" s="1283"/>
      <c r="AK20" s="1282"/>
      <c r="AN20" s="447"/>
      <c r="AO20" s="447"/>
      <c r="AP20" s="447"/>
      <c r="AQ20" s="447"/>
      <c r="AR20" s="447"/>
      <c r="AS20" s="1076">
        <v>0</v>
      </c>
    </row>
    <row r="21" spans="1:45" s="2357" customFormat="1" ht="14.25" hidden="1" customHeight="1">
      <c r="L21" s="1245"/>
      <c r="M21" s="1278"/>
      <c r="N21" s="1278"/>
      <c r="O21" s="1278"/>
      <c r="P21" s="1278"/>
      <c r="Q21" s="1287"/>
      <c r="R21" s="1287"/>
      <c r="S21" s="665"/>
      <c r="AC21" s="1282"/>
      <c r="AK21" s="1282"/>
      <c r="AN21" s="447"/>
      <c r="AO21" s="447"/>
      <c r="AP21" s="447"/>
      <c r="AQ21" s="447"/>
      <c r="AR21" s="447"/>
      <c r="AS21" s="1076">
        <v>0</v>
      </c>
    </row>
    <row r="22" spans="1:45" s="2357" customFormat="1" ht="14.25" hidden="1" customHeight="1">
      <c r="L22" s="1245"/>
      <c r="M22" s="1278"/>
      <c r="N22" s="1278"/>
      <c r="O22" s="1280" t="s">
        <v>417</v>
      </c>
      <c r="P22" s="1278"/>
      <c r="Q22" s="1287"/>
      <c r="R22" s="1287"/>
      <c r="S22" s="665"/>
      <c r="T22" s="1076" t="s">
        <v>418</v>
      </c>
      <c r="AA22" s="123" t="s">
        <v>419</v>
      </c>
      <c r="AC22" s="123" t="s">
        <v>420</v>
      </c>
      <c r="AD22" s="1076" t="s">
        <v>418</v>
      </c>
      <c r="AI22" s="123" t="s">
        <v>421</v>
      </c>
      <c r="AK22" s="123" t="s">
        <v>420</v>
      </c>
      <c r="AN22" s="447"/>
      <c r="AO22" s="447"/>
      <c r="AP22" s="447"/>
      <c r="AQ22" s="447"/>
      <c r="AR22" s="447"/>
      <c r="AS22" s="1076">
        <v>0</v>
      </c>
    </row>
    <row r="23" spans="1:45" ht="14.25" hidden="1" customHeight="1">
      <c r="O23" s="1280"/>
      <c r="AS23" s="1071">
        <v>0</v>
      </c>
    </row>
    <row r="24" spans="1:45" ht="14.25" hidden="1" customHeight="1">
      <c r="O24" s="1280"/>
      <c r="AS24" s="1071">
        <v>0</v>
      </c>
    </row>
    <row r="25" spans="1:45" ht="14.65" customHeight="1">
      <c r="Q25" s="312"/>
      <c r="R25" s="312"/>
      <c r="S25" s="1191"/>
      <c r="T25" s="299"/>
      <c r="U25" s="299"/>
      <c r="V25" s="445"/>
      <c r="W25" s="445"/>
      <c r="X25" s="445"/>
      <c r="Y25" s="445"/>
      <c r="Z25" s="445"/>
      <c r="AA25" s="445"/>
      <c r="AB25" s="445"/>
      <c r="AC25" s="445"/>
      <c r="AD25" s="445"/>
      <c r="AE25" s="445"/>
      <c r="AF25" s="445"/>
      <c r="AG25" s="445"/>
      <c r="AH25" s="445"/>
      <c r="AI25" s="445"/>
      <c r="AJ25" s="445"/>
      <c r="AK25" s="445"/>
      <c r="AS25" s="1071">
        <v>14</v>
      </c>
    </row>
    <row r="26" spans="1:45" ht="53.45" customHeight="1">
      <c r="Q26" s="312"/>
      <c r="R26" s="312"/>
      <c r="S26" s="25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4"/>
      <c r="U26" s="2544"/>
      <c r="V26" s="2544"/>
      <c r="W26" s="2544"/>
      <c r="X26" s="2544"/>
      <c r="Y26" s="2544"/>
      <c r="Z26" s="2544"/>
      <c r="AA26" s="2544"/>
      <c r="AB26" s="2544"/>
      <c r="AC26" s="2544"/>
      <c r="AD26" s="2544"/>
      <c r="AE26" s="2544"/>
      <c r="AF26" s="2544"/>
      <c r="AG26" s="2544"/>
      <c r="AH26" s="2544"/>
      <c r="AI26" s="2544"/>
      <c r="AJ26" s="2544"/>
      <c r="AK26" s="1159"/>
      <c r="AS26" s="1071">
        <v>51</v>
      </c>
    </row>
    <row r="27" spans="1:45" ht="14.65" customHeight="1">
      <c r="Q27" s="312"/>
      <c r="R27" s="312"/>
      <c r="S27" s="2516" t="str">
        <f>IF(org=0,"Не определено",org)</f>
        <v>ООО "Пятигорсктеплосервис"</v>
      </c>
      <c r="T27" s="2516"/>
      <c r="U27" s="2516"/>
      <c r="V27" s="2516"/>
      <c r="W27" s="2516"/>
      <c r="X27" s="2516"/>
      <c r="Y27" s="2516"/>
      <c r="Z27" s="2516"/>
      <c r="AA27" s="2516"/>
      <c r="AB27" s="2516"/>
      <c r="AC27" s="2516"/>
      <c r="AD27" s="2516"/>
      <c r="AE27" s="2516"/>
      <c r="AF27" s="2516"/>
      <c r="AG27" s="2516"/>
      <c r="AH27" s="2516"/>
      <c r="AI27" s="2516"/>
      <c r="AJ27" s="2516"/>
      <c r="AK27" s="1159"/>
      <c r="AS27" s="1071">
        <v>14</v>
      </c>
    </row>
    <row r="28" spans="1:45" ht="14.25" hidden="1" customHeight="1">
      <c r="Q28" s="312"/>
      <c r="R28" s="312"/>
      <c r="S28" s="1191"/>
      <c r="T28" s="299"/>
      <c r="U28" s="299"/>
      <c r="V28" s="259"/>
      <c r="W28" s="259"/>
      <c r="X28" s="259"/>
      <c r="Y28" s="259"/>
      <c r="Z28" s="259"/>
      <c r="AA28" s="259"/>
      <c r="AB28" s="259"/>
      <c r="AC28" s="259"/>
      <c r="AD28" s="259"/>
      <c r="AE28" s="259"/>
      <c r="AF28" s="259"/>
      <c r="AG28" s="259"/>
      <c r="AH28" s="259"/>
      <c r="AI28" s="259"/>
      <c r="AJ28" s="259"/>
      <c r="AK28" s="259"/>
      <c r="AL28" s="445"/>
      <c r="AS28" s="1071">
        <v>0</v>
      </c>
    </row>
    <row r="29" spans="1:45" s="2380" customFormat="1" ht="25.5" hidden="1" customHeight="1">
      <c r="A29" s="1284"/>
      <c r="B29" s="1284"/>
      <c r="C29" s="1284"/>
      <c r="D29" s="1284"/>
      <c r="E29" s="1284"/>
      <c r="F29" s="1284"/>
      <c r="G29" s="1284"/>
      <c r="H29" s="1284"/>
      <c r="I29" s="1284"/>
      <c r="J29" s="1284"/>
      <c r="K29" s="1284"/>
      <c r="L29" s="1285"/>
      <c r="M29" s="1284"/>
      <c r="N29" s="1284"/>
      <c r="O29" s="1284"/>
      <c r="S29" s="2554" t="s">
        <v>41</v>
      </c>
      <c r="T29" s="2554"/>
      <c r="U29" s="1288"/>
      <c r="V29" s="2556" t="str">
        <f>IF(TITLE_NAME_OR_PR_CHANGE="",IF(TITLE_NAME_OR_PR="","",TITLE_NAME_OR_PR),TITLE_NAME_OR_PR_CHANGE)</f>
        <v/>
      </c>
      <c r="W29" s="2556"/>
      <c r="X29" s="2556"/>
      <c r="Y29" s="2556"/>
      <c r="Z29" s="2556"/>
      <c r="AA29" s="2556"/>
      <c r="AB29" s="2556"/>
      <c r="AC29" s="263"/>
      <c r="AD29" s="2556" t="str">
        <f>IF(TITLE_NAME_OR_PR_CHANGE="",IF(TITLE_NAME_OR_PR="","",TITLE_NAME_OR_PR),TITLE_NAME_OR_PR_CHANGE)</f>
        <v/>
      </c>
      <c r="AE29" s="2556"/>
      <c r="AF29" s="2556"/>
      <c r="AG29" s="2556"/>
      <c r="AH29" s="2556"/>
      <c r="AI29" s="2556"/>
      <c r="AJ29" s="2556"/>
      <c r="AK29" s="263"/>
      <c r="AL29" s="263"/>
      <c r="AM29" s="217"/>
      <c r="AN29" s="304"/>
      <c r="AO29" s="304"/>
      <c r="AP29" s="304"/>
      <c r="AQ29" s="304"/>
      <c r="AR29" s="304"/>
      <c r="AS29" s="354">
        <v>0</v>
      </c>
    </row>
    <row r="30" spans="1:45" s="2380" customFormat="1" ht="18.75" hidden="1" customHeight="1">
      <c r="A30" s="1284"/>
      <c r="B30" s="1284"/>
      <c r="C30" s="1284"/>
      <c r="D30" s="1284"/>
      <c r="E30" s="1284"/>
      <c r="F30" s="1284"/>
      <c r="G30" s="1284"/>
      <c r="H30" s="1284"/>
      <c r="I30" s="1284"/>
      <c r="J30" s="1284"/>
      <c r="K30" s="1284"/>
      <c r="L30" s="1285"/>
      <c r="M30" s="1284"/>
      <c r="N30" s="1284"/>
      <c r="O30" s="1284"/>
      <c r="S30" s="2554" t="s">
        <v>422</v>
      </c>
      <c r="T30" s="2554"/>
      <c r="U30" s="1288"/>
      <c r="V30" s="2555" t="str">
        <f>IF(TITLE_DATE_PR_CHANGE="",IF(TITLE_DATE_PR="","",TITLE_DATE_PR),TITLE_DATE_PR_CHANGE)</f>
        <v/>
      </c>
      <c r="W30" s="2555"/>
      <c r="X30" s="2555"/>
      <c r="Y30" s="2555"/>
      <c r="Z30" s="2555"/>
      <c r="AA30" s="2555"/>
      <c r="AB30" s="2555"/>
      <c r="AC30" s="263"/>
      <c r="AD30" s="2555" t="str">
        <f>IF(TITLE_DATE_PR_CHANGE="",IF(TITLE_DATE_PR="","",TITLE_DATE_PR),TITLE_DATE_PR_CHANGE)</f>
        <v/>
      </c>
      <c r="AE30" s="2555"/>
      <c r="AF30" s="2555"/>
      <c r="AG30" s="2555"/>
      <c r="AH30" s="2555"/>
      <c r="AI30" s="2555"/>
      <c r="AJ30" s="2555"/>
      <c r="AK30" s="263"/>
      <c r="AL30" s="263"/>
      <c r="AM30" s="217"/>
      <c r="AN30" s="304"/>
      <c r="AO30" s="304"/>
      <c r="AP30" s="304"/>
      <c r="AQ30" s="304"/>
      <c r="AR30" s="304"/>
      <c r="AS30" s="354">
        <v>0</v>
      </c>
    </row>
    <row r="31" spans="1:45" s="2380" customFormat="1" ht="18.75" hidden="1" customHeight="1">
      <c r="A31" s="1284"/>
      <c r="B31" s="1284"/>
      <c r="C31" s="1284"/>
      <c r="D31" s="1284"/>
      <c r="E31" s="1284"/>
      <c r="F31" s="1284"/>
      <c r="G31" s="1284"/>
      <c r="H31" s="1284"/>
      <c r="I31" s="1284"/>
      <c r="J31" s="1284"/>
      <c r="K31" s="1284"/>
      <c r="L31" s="1285"/>
      <c r="M31" s="1284"/>
      <c r="N31" s="1284"/>
      <c r="O31" s="1284"/>
      <c r="S31" s="2554" t="s">
        <v>423</v>
      </c>
      <c r="T31" s="2554"/>
      <c r="U31" s="1288"/>
      <c r="V31" s="2556" t="str">
        <f>IF(TITLE_NUMBER_PR_CHANGE="",IF(TITLE_NUMBER_PR="","",TITLE_NUMBER_PR),TITLE_NUMBER_PR_CHANGE)</f>
        <v/>
      </c>
      <c r="W31" s="2556"/>
      <c r="X31" s="2556"/>
      <c r="Y31" s="2556"/>
      <c r="Z31" s="2556"/>
      <c r="AA31" s="2556"/>
      <c r="AB31" s="2556"/>
      <c r="AC31" s="263"/>
      <c r="AD31" s="2556" t="str">
        <f>IF(TITLE_NUMBER_PR_CHANGE="",IF(TITLE_NUMBER_PR="","",TITLE_NUMBER_PR),TITLE_NUMBER_PR_CHANGE)</f>
        <v/>
      </c>
      <c r="AE31" s="2556"/>
      <c r="AF31" s="2556"/>
      <c r="AG31" s="2556"/>
      <c r="AH31" s="2556"/>
      <c r="AI31" s="2556"/>
      <c r="AJ31" s="2556"/>
      <c r="AK31" s="263"/>
      <c r="AL31" s="263"/>
      <c r="AM31" s="217"/>
      <c r="AN31" s="304"/>
      <c r="AO31" s="304"/>
      <c r="AP31" s="304"/>
      <c r="AQ31" s="304"/>
      <c r="AR31" s="304"/>
      <c r="AS31" s="354">
        <v>0</v>
      </c>
    </row>
    <row r="32" spans="1:45" s="2380" customFormat="1" ht="18.75" hidden="1" customHeight="1">
      <c r="A32" s="1284"/>
      <c r="B32" s="1284"/>
      <c r="C32" s="1284"/>
      <c r="D32" s="1284"/>
      <c r="E32" s="1284"/>
      <c r="F32" s="1284"/>
      <c r="G32" s="1284"/>
      <c r="H32" s="1284"/>
      <c r="I32" s="1284"/>
      <c r="J32" s="1284"/>
      <c r="K32" s="1284"/>
      <c r="L32" s="1285"/>
      <c r="M32" s="1284"/>
      <c r="N32" s="1284"/>
      <c r="O32" s="1284"/>
      <c r="S32" s="2554" t="s">
        <v>42</v>
      </c>
      <c r="T32" s="2554"/>
      <c r="U32" s="1288"/>
      <c r="V32" s="2556" t="str">
        <f>IF(TITLE_IST_PUB_CHANGE="",IF(TITLE_IST_PUB="","",TITLE_IST_PUB),TITLE_IST_PUB_CHANGE)</f>
        <v/>
      </c>
      <c r="W32" s="2556"/>
      <c r="X32" s="2556"/>
      <c r="Y32" s="2556"/>
      <c r="Z32" s="2556"/>
      <c r="AA32" s="2556"/>
      <c r="AB32" s="2556"/>
      <c r="AC32" s="263"/>
      <c r="AD32" s="2556" t="str">
        <f>IF(TITLE_IST_PUB_CHANGE="",IF(TITLE_IST_PUB="","",TITLE_IST_PUB),TITLE_IST_PUB_CHANGE)</f>
        <v/>
      </c>
      <c r="AE32" s="2556"/>
      <c r="AF32" s="2556"/>
      <c r="AG32" s="2556"/>
      <c r="AH32" s="2556"/>
      <c r="AI32" s="2556"/>
      <c r="AJ32" s="2556"/>
      <c r="AK32" s="263"/>
      <c r="AL32" s="263"/>
      <c r="AM32" s="217"/>
      <c r="AN32" s="304"/>
      <c r="AO32" s="304"/>
      <c r="AP32" s="304"/>
      <c r="AQ32" s="304"/>
      <c r="AR32" s="304"/>
      <c r="AS32" s="354">
        <v>0</v>
      </c>
    </row>
    <row r="33" spans="1:45" ht="14.25" hidden="1" customHeight="1">
      <c r="Q33" s="312"/>
      <c r="R33" s="312"/>
      <c r="S33" s="1191"/>
      <c r="T33" s="299"/>
      <c r="U33" s="299"/>
      <c r="V33" s="259"/>
      <c r="W33" s="259"/>
      <c r="X33" s="259"/>
      <c r="Y33" s="259"/>
      <c r="Z33" s="259"/>
      <c r="AA33" s="259"/>
      <c r="AB33" s="259"/>
      <c r="AC33" s="259"/>
      <c r="AD33" s="259"/>
      <c r="AE33" s="259"/>
      <c r="AF33" s="259"/>
      <c r="AG33" s="259"/>
      <c r="AH33" s="259"/>
      <c r="AI33" s="259"/>
      <c r="AJ33" s="259"/>
      <c r="AK33" s="259"/>
      <c r="AL33" s="445"/>
      <c r="AS33" s="1071">
        <v>0</v>
      </c>
    </row>
    <row r="34" spans="1:45" s="2380" customFormat="1" ht="18.75" hidden="1" customHeight="1">
      <c r="A34" s="1284"/>
      <c r="B34" s="1284"/>
      <c r="C34" s="1284"/>
      <c r="D34" s="1284"/>
      <c r="E34" s="1284"/>
      <c r="F34" s="1284"/>
      <c r="G34" s="1284"/>
      <c r="H34" s="1284"/>
      <c r="I34" s="1284"/>
      <c r="J34" s="1284"/>
      <c r="K34" s="1284"/>
      <c r="L34" s="1285"/>
      <c r="M34" s="1284"/>
      <c r="N34" s="1284"/>
      <c r="O34" s="1284"/>
      <c r="S34" s="2554" t="s">
        <v>424</v>
      </c>
      <c r="T34" s="2554"/>
      <c r="U34" s="1288"/>
      <c r="V34" s="2555" t="str">
        <f>IF(TITLE_DATE_PR_CHANGE="",IF(TITLE_DATE_PR="","",TITLE_DATE_PR),TITLE_DATE_PR_CHANGE)</f>
        <v/>
      </c>
      <c r="W34" s="2555"/>
      <c r="X34" s="2555"/>
      <c r="Y34" s="2555"/>
      <c r="Z34" s="2555"/>
      <c r="AA34" s="2555"/>
      <c r="AB34" s="2555"/>
      <c r="AC34" s="263"/>
      <c r="AD34" s="2555" t="str">
        <f>IF(TITLE_DATE_PR_CHANGE="",IF(TITLE_DATE_PR="","",TITLE_DATE_PR),TITLE_DATE_PR_CHANGE)</f>
        <v/>
      </c>
      <c r="AE34" s="2555"/>
      <c r="AF34" s="2555"/>
      <c r="AG34" s="2555"/>
      <c r="AH34" s="2555"/>
      <c r="AI34" s="2555"/>
      <c r="AJ34" s="2555"/>
      <c r="AK34" s="263"/>
      <c r="AL34" s="263"/>
      <c r="AM34" s="217"/>
      <c r="AN34" s="304"/>
      <c r="AO34" s="304"/>
      <c r="AP34" s="304"/>
      <c r="AQ34" s="304"/>
      <c r="AR34" s="304"/>
      <c r="AS34" s="354">
        <v>0</v>
      </c>
    </row>
    <row r="35" spans="1:45" s="2380" customFormat="1" ht="25.5" hidden="1" customHeight="1">
      <c r="A35" s="1284"/>
      <c r="B35" s="1284"/>
      <c r="C35" s="1284"/>
      <c r="D35" s="1284"/>
      <c r="E35" s="1284"/>
      <c r="F35" s="1284"/>
      <c r="G35" s="1284"/>
      <c r="H35" s="1284"/>
      <c r="I35" s="1284"/>
      <c r="J35" s="1284"/>
      <c r="K35" s="1284"/>
      <c r="L35" s="1285"/>
      <c r="M35" s="1284"/>
      <c r="N35" s="1284"/>
      <c r="O35" s="1284"/>
      <c r="S35" s="2554" t="s">
        <v>425</v>
      </c>
      <c r="T35" s="2554"/>
      <c r="U35" s="1288"/>
      <c r="V35" s="2556" t="str">
        <f>IF(TITLE_NUMBER_PR_CHANGE="",IF(TITLE_NUMBER_PR="","",TITLE_NUMBER_PR),TITLE_NUMBER_PR_CHANGE)</f>
        <v/>
      </c>
      <c r="W35" s="2556"/>
      <c r="X35" s="2556"/>
      <c r="Y35" s="2556"/>
      <c r="Z35" s="2556"/>
      <c r="AA35" s="2556"/>
      <c r="AB35" s="2556"/>
      <c r="AC35" s="263"/>
      <c r="AD35" s="2556" t="str">
        <f>IF(TITLE_NUMBER_PR_CHANGE="",IF(TITLE_NUMBER_PR="","",TITLE_NUMBER_PR),TITLE_NUMBER_PR_CHANGE)</f>
        <v/>
      </c>
      <c r="AE35" s="2556"/>
      <c r="AF35" s="2556"/>
      <c r="AG35" s="2556"/>
      <c r="AH35" s="2556"/>
      <c r="AI35" s="2556"/>
      <c r="AJ35" s="2556"/>
      <c r="AK35" s="263"/>
      <c r="AL35" s="263"/>
      <c r="AM35" s="217"/>
      <c r="AN35" s="304"/>
      <c r="AO35" s="304"/>
      <c r="AP35" s="304"/>
      <c r="AQ35" s="304"/>
      <c r="AR35" s="304"/>
      <c r="AS35" s="354">
        <v>0</v>
      </c>
    </row>
    <row r="36" spans="1:45" s="2380" customFormat="1" ht="0" hidden="1" customHeight="1">
      <c r="A36" s="1284"/>
      <c r="B36" s="1284"/>
      <c r="C36" s="1284"/>
      <c r="D36" s="1284"/>
      <c r="E36" s="1284"/>
      <c r="F36" s="1284"/>
      <c r="G36" s="1284"/>
      <c r="H36" s="1284"/>
      <c r="I36" s="1284"/>
      <c r="J36" s="1284"/>
      <c r="K36" s="1284"/>
      <c r="L36" s="1285"/>
      <c r="M36" s="1284"/>
      <c r="N36" s="1284"/>
      <c r="O36" s="1284"/>
      <c r="S36" s="260"/>
      <c r="T36" s="260"/>
      <c r="U36" s="125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1"/>
      <c r="T37" s="299"/>
      <c r="U37" s="1160"/>
      <c r="V37" s="2575"/>
      <c r="W37" s="2575"/>
      <c r="X37" s="2575"/>
      <c r="Y37" s="2575"/>
      <c r="Z37" s="2575"/>
      <c r="AA37" s="2575"/>
      <c r="AB37" s="2575"/>
      <c r="AC37" s="2575"/>
      <c r="AD37" s="2575"/>
      <c r="AE37" s="2575"/>
      <c r="AF37" s="2575"/>
      <c r="AG37" s="2575"/>
      <c r="AH37" s="2575"/>
      <c r="AI37" s="2575"/>
      <c r="AJ37" s="2575"/>
      <c r="AK37" s="2575"/>
      <c r="AS37" s="1071">
        <v>14</v>
      </c>
    </row>
    <row r="38" spans="1:45" ht="14.65" customHeight="1">
      <c r="Q38" s="312"/>
      <c r="R38" s="312"/>
      <c r="S38" s="2435" t="s">
        <v>299</v>
      </c>
      <c r="T38" s="2435"/>
      <c r="U38" s="2435"/>
      <c r="V38" s="2435"/>
      <c r="W38" s="2435"/>
      <c r="X38" s="2435"/>
      <c r="Y38" s="2435"/>
      <c r="Z38" s="2435"/>
      <c r="AA38" s="2435"/>
      <c r="AB38" s="2435"/>
      <c r="AC38" s="2435"/>
      <c r="AD38" s="2435"/>
      <c r="AE38" s="2435"/>
      <c r="AF38" s="2435"/>
      <c r="AG38" s="2435"/>
      <c r="AH38" s="2435"/>
      <c r="AI38" s="2435"/>
      <c r="AJ38" s="2435"/>
      <c r="AK38" s="2435"/>
      <c r="AL38" s="2435"/>
      <c r="AM38" s="2435" t="s">
        <v>300</v>
      </c>
      <c r="AS38" s="1071">
        <v>14</v>
      </c>
    </row>
    <row r="39" spans="1:45" ht="14.65" customHeight="1">
      <c r="Q39" s="312"/>
      <c r="R39" s="312"/>
      <c r="S39" s="2576" t="s">
        <v>88</v>
      </c>
      <c r="T39" s="2524" t="s">
        <v>427</v>
      </c>
      <c r="U39" s="238"/>
      <c r="V39" s="2577" t="s">
        <v>428</v>
      </c>
      <c r="W39" s="2578"/>
      <c r="X39" s="2578"/>
      <c r="Y39" s="2578"/>
      <c r="Z39" s="2578"/>
      <c r="AA39" s="2578"/>
      <c r="AB39" s="2579"/>
      <c r="AC39" s="2580" t="s">
        <v>429</v>
      </c>
      <c r="AD39" s="2577" t="s">
        <v>428</v>
      </c>
      <c r="AE39" s="2578"/>
      <c r="AF39" s="2578"/>
      <c r="AG39" s="2578"/>
      <c r="AH39" s="2578"/>
      <c r="AI39" s="2578"/>
      <c r="AJ39" s="2579"/>
      <c r="AK39" s="2580" t="s">
        <v>430</v>
      </c>
      <c r="AL39" s="2583" t="s">
        <v>431</v>
      </c>
      <c r="AM39" s="2435"/>
      <c r="AS39" s="1071">
        <v>14</v>
      </c>
    </row>
    <row r="40" spans="1:45" ht="35.65" customHeight="1">
      <c r="Q40" s="312"/>
      <c r="R40" s="312"/>
      <c r="S40" s="2576"/>
      <c r="T40" s="2524"/>
      <c r="U40" s="953"/>
      <c r="V40" s="2494" t="s">
        <v>432</v>
      </c>
      <c r="W40" s="2572"/>
      <c r="X40" s="2417" t="s">
        <v>434</v>
      </c>
      <c r="Y40" s="2416"/>
      <c r="Z40" s="2417" t="s">
        <v>435</v>
      </c>
      <c r="AA40" s="2422"/>
      <c r="AB40" s="2416"/>
      <c r="AC40" s="2581"/>
      <c r="AD40" s="2494" t="s">
        <v>449</v>
      </c>
      <c r="AE40" s="2572"/>
      <c r="AF40" s="2417" t="s">
        <v>434</v>
      </c>
      <c r="AG40" s="2416"/>
      <c r="AH40" s="2417" t="s">
        <v>435</v>
      </c>
      <c r="AI40" s="2422"/>
      <c r="AJ40" s="2416"/>
      <c r="AK40" s="2581"/>
      <c r="AL40" s="2584"/>
      <c r="AM40" s="2435"/>
      <c r="AS40" s="1071">
        <v>34</v>
      </c>
    </row>
    <row r="41" spans="1:45" ht="35.65" customHeight="1">
      <c r="A41" s="1286"/>
      <c r="B41" s="1286" t="s">
        <v>136</v>
      </c>
      <c r="C41" s="1286" t="s">
        <v>137</v>
      </c>
      <c r="D41" s="1286" t="s">
        <v>138</v>
      </c>
      <c r="E41" s="1280" t="s">
        <v>436</v>
      </c>
      <c r="F41" s="1280" t="s">
        <v>437</v>
      </c>
      <c r="G41" s="1280" t="s">
        <v>438</v>
      </c>
      <c r="H41" s="1280" t="s">
        <v>439</v>
      </c>
      <c r="I41" s="1280" t="s">
        <v>440</v>
      </c>
      <c r="J41" s="1280" t="s">
        <v>441</v>
      </c>
      <c r="K41" s="1280" t="s">
        <v>442</v>
      </c>
      <c r="L41" s="1280" t="s">
        <v>417</v>
      </c>
      <c r="Q41" s="312"/>
      <c r="R41" s="312"/>
      <c r="S41" s="2576"/>
      <c r="T41" s="2524"/>
      <c r="U41" s="239"/>
      <c r="V41" s="2549"/>
      <c r="W41" s="2573"/>
      <c r="X41" s="1138" t="s">
        <v>443</v>
      </c>
      <c r="Y41" s="1138" t="s">
        <v>444</v>
      </c>
      <c r="Z41" s="1254" t="s">
        <v>445</v>
      </c>
      <c r="AA41" s="2529" t="s">
        <v>446</v>
      </c>
      <c r="AB41" s="2543"/>
      <c r="AC41" s="2582"/>
      <c r="AD41" s="2549"/>
      <c r="AE41" s="2573"/>
      <c r="AF41" s="1138" t="s">
        <v>443</v>
      </c>
      <c r="AG41" s="1138" t="s">
        <v>444</v>
      </c>
      <c r="AH41" s="1254" t="s">
        <v>445</v>
      </c>
      <c r="AI41" s="2529" t="s">
        <v>446</v>
      </c>
      <c r="AJ41" s="2543"/>
      <c r="AK41" s="2582"/>
      <c r="AL41" s="2585"/>
      <c r="AM41" s="2435"/>
      <c r="AS41" s="1071">
        <v>34</v>
      </c>
    </row>
    <row r="42" spans="1:45" s="2335" customFormat="1" ht="11.25" hidden="1" customHeight="1">
      <c r="A42" s="1286"/>
      <c r="B42" s="1286"/>
      <c r="C42" s="1286"/>
      <c r="D42" s="1286"/>
      <c r="E42" s="1286"/>
      <c r="F42" s="1286"/>
      <c r="G42" s="1286"/>
      <c r="H42" s="1286"/>
      <c r="I42" s="1286"/>
      <c r="J42" s="1286"/>
      <c r="K42" s="1286"/>
      <c r="L42" s="1280"/>
      <c r="M42" s="1278"/>
      <c r="N42" s="1278"/>
      <c r="O42" s="1278"/>
      <c r="P42" s="1162"/>
      <c r="Q42" s="1163"/>
      <c r="R42" s="1170">
        <v>1</v>
      </c>
      <c r="S42" s="1193" t="s">
        <v>109</v>
      </c>
      <c r="T42" s="1171" t="s">
        <v>110</v>
      </c>
      <c r="U42" s="1161" t="str">
        <f ca="1">OFFSET(U42,0,-1)</f>
        <v>2</v>
      </c>
      <c r="V42" s="1251">
        <f ca="1">OFFSET(V42,0,-1)+1</f>
        <v>3</v>
      </c>
      <c r="W42" s="1251"/>
      <c r="X42" s="1251">
        <f ca="1">OFFSET(X42,0,-1)+1</f>
        <v>1</v>
      </c>
      <c r="Y42" s="1251">
        <f ca="1">OFFSET(Y42,0,-1)+1</f>
        <v>2</v>
      </c>
      <c r="Z42" s="1251">
        <f ca="1">OFFSET(Z42,0,-1)+1</f>
        <v>3</v>
      </c>
      <c r="AA42" s="2574">
        <f ca="1">OFFSET(AA42,0,-1)+1</f>
        <v>4</v>
      </c>
      <c r="AB42" s="2574"/>
      <c r="AC42" s="1251">
        <f ca="1">OFFSET(AC42,0,-2)+1</f>
        <v>5</v>
      </c>
      <c r="AD42" s="1251">
        <f ca="1">OFFSET(AD42,0,-1)+1</f>
        <v>6</v>
      </c>
      <c r="AE42" s="1251"/>
      <c r="AF42" s="1251">
        <f ca="1">OFFSET(AF42,0,-1)+1</f>
        <v>1</v>
      </c>
      <c r="AG42" s="1251">
        <f ca="1">OFFSET(AG42,0,-1)+1</f>
        <v>2</v>
      </c>
      <c r="AH42" s="1251">
        <f ca="1">OFFSET(AH42,0,-1)+1</f>
        <v>3</v>
      </c>
      <c r="AI42" s="2574">
        <f ca="1">OFFSET(AI42,0,-1)+1</f>
        <v>4</v>
      </c>
      <c r="AJ42" s="2574"/>
      <c r="AK42" s="1251">
        <f ca="1">OFFSET(AK42,0,-2)+1</f>
        <v>5</v>
      </c>
      <c r="AL42" s="1161">
        <f ca="1">OFFSET(AL42,0,-1)</f>
        <v>5</v>
      </c>
      <c r="AM42" s="1251">
        <f ca="1">OFFSET(AM42,0,-1)+1</f>
        <v>6</v>
      </c>
      <c r="AN42" s="447"/>
      <c r="AO42" s="447"/>
      <c r="AP42" s="447"/>
      <c r="AQ42" s="447"/>
      <c r="AR42" s="447"/>
      <c r="AS42" s="432">
        <v>0</v>
      </c>
    </row>
    <row r="43" spans="1:45" ht="21.95" customHeight="1">
      <c r="A43" s="1279" t="s">
        <v>187</v>
      </c>
      <c r="B43" s="1279"/>
      <c r="C43" s="1279"/>
      <c r="D43" s="1279"/>
      <c r="E43" s="2563">
        <v>1</v>
      </c>
      <c r="F43" s="1279"/>
      <c r="G43" s="1279"/>
      <c r="H43" s="1279"/>
      <c r="I43" s="1279"/>
      <c r="J43" s="1279"/>
      <c r="K43" s="1279"/>
      <c r="L43" s="1280"/>
      <c r="M43" s="1281"/>
      <c r="N43" s="1281"/>
      <c r="O43" s="1281"/>
      <c r="P43" s="297"/>
      <c r="Q43" s="296"/>
      <c r="R43" s="291"/>
      <c r="S43" s="1252">
        <f>INDEX(PT_DIFFERENTIATION_NUM_NTAR,MATCH(A43,PT_DIFFERENTIATION_NTAR_ID,0))</f>
        <v>0</v>
      </c>
      <c r="T43" s="235" t="s">
        <v>124</v>
      </c>
      <c r="U43" s="237"/>
      <c r="V43" s="2557"/>
      <c r="W43" s="2558"/>
      <c r="X43" s="2558"/>
      <c r="Y43" s="2558"/>
      <c r="Z43" s="2558"/>
      <c r="AA43" s="2558"/>
      <c r="AB43" s="2558"/>
      <c r="AC43" s="2559"/>
      <c r="AD43" s="2557" t="str">
        <f>INDEX(PT_DIFFERENTIATION_NTAR,MATCH(A43,PT_DIFFERENTIATION_NTAR_ID,0))</f>
        <v/>
      </c>
      <c r="AE43" s="2558"/>
      <c r="AF43" s="2558"/>
      <c r="AG43" s="2558"/>
      <c r="AH43" s="2558"/>
      <c r="AI43" s="2558"/>
      <c r="AJ43" s="2558"/>
      <c r="AK43" s="2558"/>
      <c r="AL43" s="2559"/>
      <c r="AM43" s="117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1">
        <v>21</v>
      </c>
    </row>
    <row r="44" spans="1:45" ht="21.95" customHeight="1">
      <c r="A44" s="1279" t="s">
        <v>187</v>
      </c>
      <c r="B44" s="1279" t="s">
        <v>188</v>
      </c>
      <c r="C44" s="1279"/>
      <c r="D44" s="1279"/>
      <c r="E44" s="2564"/>
      <c r="F44" s="2563">
        <v>1</v>
      </c>
      <c r="G44" s="1279"/>
      <c r="H44" s="1279"/>
      <c r="I44" s="1279"/>
      <c r="J44" s="1279"/>
      <c r="K44" s="1279"/>
      <c r="L44" s="1280"/>
      <c r="M44" s="1281"/>
      <c r="N44" s="1281"/>
      <c r="O44" s="1281"/>
      <c r="P44" s="1248"/>
      <c r="Q44" s="288"/>
      <c r="R44" s="289"/>
      <c r="S44" s="1252" t="str">
        <f>INDEX(PT_DIFFERENTIATION_NUM_TER,MATCH(B44,PT_DIFFERENTIATION_TER_ID,0))</f>
        <v>.</v>
      </c>
      <c r="T44" s="245" t="s">
        <v>396</v>
      </c>
      <c r="U44" s="237"/>
      <c r="V44" s="2557"/>
      <c r="W44" s="2558"/>
      <c r="X44" s="2558"/>
      <c r="Y44" s="2558"/>
      <c r="Z44" s="2558"/>
      <c r="AA44" s="2558"/>
      <c r="AB44" s="2558"/>
      <c r="AC44" s="2559"/>
      <c r="AD44" s="2557" t="str">
        <f>INDEX(PT_DIFFERENTIATION_TER,MATCH(B44,PT_DIFFERENTIATION_TER_ID,0))</f>
        <v/>
      </c>
      <c r="AE44" s="2558"/>
      <c r="AF44" s="2558"/>
      <c r="AG44" s="2558"/>
      <c r="AH44" s="2558"/>
      <c r="AI44" s="2558"/>
      <c r="AJ44" s="2558"/>
      <c r="AK44" s="2558"/>
      <c r="AL44" s="2559"/>
      <c r="AM44" s="1174" t="s">
        <v>397</v>
      </c>
      <c r="AO44" s="436"/>
      <c r="AP44" s="436" t="str">
        <f t="shared" si="1"/>
        <v>Территория действия тарифа</v>
      </c>
      <c r="AQ44" s="436"/>
      <c r="AR44" s="436"/>
      <c r="AS44" s="1071">
        <v>21</v>
      </c>
    </row>
    <row r="45" spans="1:45" ht="24" customHeight="1">
      <c r="A45" s="1279" t="s">
        <v>187</v>
      </c>
      <c r="B45" s="1279" t="s">
        <v>188</v>
      </c>
      <c r="C45" s="1279" t="s">
        <v>189</v>
      </c>
      <c r="D45" s="1279"/>
      <c r="E45" s="2564"/>
      <c r="F45" s="2564"/>
      <c r="G45" s="2563">
        <v>1</v>
      </c>
      <c r="H45" s="1279"/>
      <c r="I45" s="1279"/>
      <c r="J45" s="1279"/>
      <c r="K45" s="1279"/>
      <c r="L45" s="1280"/>
      <c r="M45" s="1281"/>
      <c r="N45" s="1281"/>
      <c r="O45" s="1281"/>
      <c r="P45" s="290"/>
      <c r="Q45" s="288"/>
      <c r="R45" s="289"/>
      <c r="S45" s="1252" t="str">
        <f>INDEX(PT_DIFFERENTIATION_NUM_CS,MATCH(C45,PT_DIFFERENTIATION_CS_ID,0))</f>
        <v>..</v>
      </c>
      <c r="T45" s="246" t="s">
        <v>398</v>
      </c>
      <c r="U45" s="237"/>
      <c r="V45" s="2557"/>
      <c r="W45" s="2558"/>
      <c r="X45" s="2558"/>
      <c r="Y45" s="2558"/>
      <c r="Z45" s="2558"/>
      <c r="AA45" s="2558"/>
      <c r="AB45" s="2558"/>
      <c r="AC45" s="2559"/>
      <c r="AD45" s="2557" t="str">
        <f>INDEX(PT_DIFFERENTIATION_CS,MATCH(C45,PT_DIFFERENTIATION_CS_ID,0))</f>
        <v/>
      </c>
      <c r="AE45" s="2558"/>
      <c r="AF45" s="2558"/>
      <c r="AG45" s="2558"/>
      <c r="AH45" s="2558"/>
      <c r="AI45" s="2558"/>
      <c r="AJ45" s="2558"/>
      <c r="AK45" s="2558"/>
      <c r="AL45" s="2559"/>
      <c r="AM45" s="1174" t="s">
        <v>399</v>
      </c>
      <c r="AO45" s="436"/>
      <c r="AP45" s="436" t="str">
        <f t="shared" si="1"/>
        <v xml:space="preserve">Наименование системы теплоснабжения </v>
      </c>
      <c r="AQ45" s="436"/>
      <c r="AR45" s="436"/>
      <c r="AS45" s="1071">
        <v>23</v>
      </c>
    </row>
    <row r="46" spans="1:45" ht="21.95" customHeight="1">
      <c r="A46" s="1279" t="s">
        <v>187</v>
      </c>
      <c r="B46" s="1279" t="s">
        <v>188</v>
      </c>
      <c r="C46" s="1279" t="s">
        <v>189</v>
      </c>
      <c r="D46" s="1279" t="s">
        <v>190</v>
      </c>
      <c r="E46" s="2564"/>
      <c r="F46" s="2564"/>
      <c r="G46" s="2564"/>
      <c r="H46" s="2563">
        <v>1</v>
      </c>
      <c r="I46" s="1279"/>
      <c r="J46" s="1279"/>
      <c r="K46" s="1279"/>
      <c r="L46" s="1280"/>
      <c r="M46" s="1281"/>
      <c r="N46" s="1281"/>
      <c r="O46" s="1281"/>
      <c r="P46" s="290"/>
      <c r="Q46" s="288"/>
      <c r="R46" s="289"/>
      <c r="S46" s="1252" t="str">
        <f>INDEX(PT_DIFFERENTIATION_NUM_IST_TE,MATCH(D46,PT_DIFFERENTIATION_IST_TE_ID,0))</f>
        <v>...</v>
      </c>
      <c r="T46" s="247" t="s">
        <v>400</v>
      </c>
      <c r="U46" s="237"/>
      <c r="V46" s="2557"/>
      <c r="W46" s="2558"/>
      <c r="X46" s="2558"/>
      <c r="Y46" s="2558"/>
      <c r="Z46" s="2558"/>
      <c r="AA46" s="2558"/>
      <c r="AB46" s="2558"/>
      <c r="AC46" s="2559"/>
      <c r="AD46" s="2557" t="str">
        <f>INDEX(PT_DIFFERENTIATION_IST_TE,MATCH(D46,PT_DIFFERENTIATION_IST_TE_ID,0))</f>
        <v/>
      </c>
      <c r="AE46" s="2558"/>
      <c r="AF46" s="2558"/>
      <c r="AG46" s="2558"/>
      <c r="AH46" s="2558"/>
      <c r="AI46" s="2558"/>
      <c r="AJ46" s="2558"/>
      <c r="AK46" s="2558"/>
      <c r="AL46" s="2559"/>
      <c r="AM46" s="1174" t="s">
        <v>401</v>
      </c>
      <c r="AO46" s="436"/>
      <c r="AP46" s="436" t="str">
        <f t="shared" si="1"/>
        <v xml:space="preserve">Источник тепловой энергии  </v>
      </c>
      <c r="AQ46" s="436"/>
      <c r="AR46" s="436"/>
      <c r="AS46" s="1071">
        <v>21</v>
      </c>
    </row>
    <row r="47" spans="1:45" s="2344" customFormat="1" ht="0" hidden="1" customHeight="1">
      <c r="A47" s="1259" t="s">
        <v>187</v>
      </c>
      <c r="B47" s="1259" t="s">
        <v>188</v>
      </c>
      <c r="C47" s="1259" t="s">
        <v>189</v>
      </c>
      <c r="D47" s="1259" t="s">
        <v>190</v>
      </c>
      <c r="E47" s="2564"/>
      <c r="F47" s="2564"/>
      <c r="G47" s="2564"/>
      <c r="H47" s="2564"/>
      <c r="I47" s="2565" t="str">
        <f>S46&amp;".1"</f>
        <v>....1</v>
      </c>
      <c r="J47" s="1259"/>
      <c r="K47" s="1259"/>
      <c r="L47" s="1262" t="s">
        <v>402</v>
      </c>
      <c r="M47" s="446"/>
      <c r="N47" s="446"/>
      <c r="O47" s="446"/>
      <c r="P47" s="2567">
        <v>1</v>
      </c>
      <c r="Q47" s="1247"/>
      <c r="R47" s="292"/>
      <c r="S47" s="964"/>
      <c r="T47" s="1299"/>
      <c r="U47" s="1300"/>
      <c r="V47" s="2594"/>
      <c r="W47" s="2595"/>
      <c r="X47" s="2595"/>
      <c r="Y47" s="2595"/>
      <c r="Z47" s="2595"/>
      <c r="AA47" s="2595"/>
      <c r="AB47" s="2595"/>
      <c r="AC47" s="2596"/>
      <c r="AD47" s="2594"/>
      <c r="AE47" s="2595"/>
      <c r="AF47" s="2595"/>
      <c r="AG47" s="2595"/>
      <c r="AH47" s="2595"/>
      <c r="AI47" s="2595"/>
      <c r="AJ47" s="2595"/>
      <c r="AK47" s="2595"/>
      <c r="AL47" s="2596"/>
      <c r="AM47" s="1301"/>
      <c r="AO47" s="436"/>
      <c r="AP47" s="436" t="str">
        <f t="shared" si="1"/>
        <v/>
      </c>
      <c r="AQ47" s="436"/>
      <c r="AR47" s="436"/>
      <c r="AS47" s="447">
        <v>0</v>
      </c>
    </row>
    <row r="48" spans="1:45" ht="21.95" customHeight="1">
      <c r="A48" s="1279" t="s">
        <v>187</v>
      </c>
      <c r="B48" s="1279" t="s">
        <v>188</v>
      </c>
      <c r="C48" s="1279" t="s">
        <v>189</v>
      </c>
      <c r="D48" s="1279" t="s">
        <v>190</v>
      </c>
      <c r="E48" s="2564"/>
      <c r="F48" s="2564"/>
      <c r="G48" s="2564"/>
      <c r="H48" s="2564"/>
      <c r="I48" s="2566"/>
      <c r="J48" s="2565" t="str">
        <f>S46&amp;".1"</f>
        <v>....1</v>
      </c>
      <c r="K48" s="1279"/>
      <c r="L48" s="1280" t="s">
        <v>405</v>
      </c>
      <c r="P48" s="2567"/>
      <c r="Q48" s="2567">
        <v>1</v>
      </c>
      <c r="R48" s="293"/>
      <c r="S48" s="1252" t="str">
        <f>$J48</f>
        <v>....1</v>
      </c>
      <c r="T48" s="223" t="s">
        <v>406</v>
      </c>
      <c r="U48" s="237"/>
      <c r="V48" s="2551"/>
      <c r="W48" s="2552"/>
      <c r="X48" s="2552"/>
      <c r="Y48" s="2552"/>
      <c r="Z48" s="2552"/>
      <c r="AA48" s="2552"/>
      <c r="AB48" s="2552"/>
      <c r="AC48" s="2553"/>
      <c r="AD48" s="2551"/>
      <c r="AE48" s="2552"/>
      <c r="AF48" s="2552"/>
      <c r="AG48" s="2552"/>
      <c r="AH48" s="2552"/>
      <c r="AI48" s="2552"/>
      <c r="AJ48" s="2552"/>
      <c r="AK48" s="2552"/>
      <c r="AL48" s="2553"/>
      <c r="AM48" s="1174" t="s">
        <v>407</v>
      </c>
      <c r="AO48" s="436"/>
      <c r="AP48" s="436" t="str">
        <f t="shared" si="1"/>
        <v>Группа потребителей</v>
      </c>
      <c r="AQ48" s="436"/>
      <c r="AR48" s="436"/>
      <c r="AS48" s="1071">
        <v>21</v>
      </c>
    </row>
    <row r="49" spans="1:45" ht="21.95" customHeight="1">
      <c r="A49" s="1279" t="s">
        <v>187</v>
      </c>
      <c r="B49" s="1279" t="s">
        <v>188</v>
      </c>
      <c r="C49" s="1279" t="s">
        <v>189</v>
      </c>
      <c r="D49" s="1279" t="s">
        <v>190</v>
      </c>
      <c r="E49" s="2564"/>
      <c r="F49" s="2564"/>
      <c r="G49" s="2564"/>
      <c r="H49" s="2564"/>
      <c r="I49" s="2566"/>
      <c r="J49" s="2566"/>
      <c r="K49" s="2565" t="str">
        <f>J48&amp;".1"</f>
        <v>....1.1</v>
      </c>
      <c r="L49" s="1280" t="s">
        <v>408</v>
      </c>
      <c r="P49" s="2567"/>
      <c r="Q49" s="2567"/>
      <c r="R49" s="293">
        <v>1</v>
      </c>
      <c r="S49" s="1252" t="str">
        <f>$K49</f>
        <v>....1.1</v>
      </c>
      <c r="T49" s="1263"/>
      <c r="U49" s="237"/>
      <c r="V49" s="687"/>
      <c r="W49" s="262"/>
      <c r="X49" s="687"/>
      <c r="Y49" s="1173"/>
      <c r="Z49" s="2568"/>
      <c r="AA49" s="2445" t="s">
        <v>62</v>
      </c>
      <c r="AB49" s="2568"/>
      <c r="AC49" s="2445" t="s">
        <v>62</v>
      </c>
      <c r="AD49" s="687"/>
      <c r="AE49" s="262"/>
      <c r="AF49" s="687"/>
      <c r="AG49" s="1173"/>
      <c r="AH49" s="2568"/>
      <c r="AI49" s="2445" t="s">
        <v>62</v>
      </c>
      <c r="AJ49" s="2570"/>
      <c r="AK49" s="2445" t="s">
        <v>62</v>
      </c>
      <c r="AL49" s="1264"/>
      <c r="AM49" s="2586" t="s">
        <v>450</v>
      </c>
      <c r="AN49" s="447" t="e">
        <f ca="1">STRCHECKDATE(V50:AL50)</f>
        <v>#NAME?</v>
      </c>
      <c r="AO49" s="436"/>
      <c r="AP49" s="436" t="str">
        <f t="shared" si="1"/>
        <v/>
      </c>
      <c r="AQ49" s="436"/>
      <c r="AR49" s="436"/>
      <c r="AS49" s="1071">
        <v>21</v>
      </c>
    </row>
    <row r="50" spans="1:45" ht="0" hidden="1" customHeight="1">
      <c r="A50" s="1279" t="s">
        <v>187</v>
      </c>
      <c r="B50" s="1279" t="s">
        <v>188</v>
      </c>
      <c r="C50" s="1279" t="s">
        <v>189</v>
      </c>
      <c r="D50" s="1279" t="s">
        <v>190</v>
      </c>
      <c r="E50" s="2564"/>
      <c r="F50" s="2564"/>
      <c r="G50" s="2564"/>
      <c r="H50" s="2564"/>
      <c r="I50" s="2566"/>
      <c r="J50" s="2566"/>
      <c r="K50" s="2565"/>
      <c r="L50" s="1280"/>
      <c r="P50" s="2567"/>
      <c r="Q50" s="2567"/>
      <c r="R50" s="293"/>
      <c r="S50" s="1258"/>
      <c r="T50" s="237"/>
      <c r="U50" s="237"/>
      <c r="V50" s="262"/>
      <c r="W50" s="262"/>
      <c r="X50" s="262"/>
      <c r="Y50" s="265" t="str">
        <f>Z49&amp;"-"&amp;AB49</f>
        <v>-</v>
      </c>
      <c r="Z50" s="2569"/>
      <c r="AA50" s="2445"/>
      <c r="AB50" s="2569"/>
      <c r="AC50" s="2445"/>
      <c r="AD50" s="262"/>
      <c r="AE50" s="262"/>
      <c r="AF50" s="262"/>
      <c r="AG50" s="265" t="str">
        <f>AH49&amp;"-"&amp;AJ49</f>
        <v>-</v>
      </c>
      <c r="AH50" s="2569"/>
      <c r="AI50" s="2445"/>
      <c r="AJ50" s="2571"/>
      <c r="AK50" s="2445"/>
      <c r="AL50" s="1265"/>
      <c r="AM50" s="2587"/>
      <c r="AO50" s="436"/>
      <c r="AP50" s="436" t="str">
        <f t="shared" si="1"/>
        <v/>
      </c>
      <c r="AQ50" s="436"/>
      <c r="AR50" s="436"/>
      <c r="AS50" s="1071">
        <v>0</v>
      </c>
    </row>
    <row r="51" spans="1:45" ht="11.45" customHeight="1">
      <c r="A51" s="1279" t="s">
        <v>187</v>
      </c>
      <c r="B51" s="1279" t="s">
        <v>188</v>
      </c>
      <c r="C51" s="1279" t="s">
        <v>189</v>
      </c>
      <c r="D51" s="1279" t="s">
        <v>190</v>
      </c>
      <c r="E51" s="2564"/>
      <c r="F51" s="2564"/>
      <c r="G51" s="2564"/>
      <c r="H51" s="2564"/>
      <c r="I51" s="2566"/>
      <c r="J51" s="2565"/>
      <c r="K51" s="1279"/>
      <c r="L51" s="1280"/>
      <c r="P51" s="2567"/>
      <c r="Q51" s="2567"/>
      <c r="R51" s="292"/>
      <c r="S51" s="1194"/>
      <c r="T51" s="224" t="s">
        <v>410</v>
      </c>
      <c r="U51" s="303"/>
      <c r="V51" s="303"/>
      <c r="W51" s="303"/>
      <c r="X51" s="303"/>
      <c r="Y51" s="303"/>
      <c r="Z51" s="303"/>
      <c r="AA51" s="303"/>
      <c r="AB51" s="303"/>
      <c r="AC51" s="303"/>
      <c r="AD51" s="303"/>
      <c r="AE51" s="303"/>
      <c r="AF51" s="303"/>
      <c r="AG51" s="303"/>
      <c r="AH51" s="303"/>
      <c r="AI51" s="303"/>
      <c r="AJ51" s="303"/>
      <c r="AK51" s="303"/>
      <c r="AL51" s="261"/>
      <c r="AM51" s="2588"/>
      <c r="AO51" s="436"/>
      <c r="AP51" s="436" t="str">
        <f t="shared" si="1"/>
        <v>Добавить вид теплоносителя (параметры теплоносителя)</v>
      </c>
      <c r="AQ51" s="436"/>
      <c r="AR51" s="436"/>
      <c r="AS51" s="1071">
        <v>11</v>
      </c>
    </row>
    <row r="52" spans="1:45" ht="11.45" customHeight="1">
      <c r="A52" s="1279" t="s">
        <v>187</v>
      </c>
      <c r="B52" s="1279" t="s">
        <v>188</v>
      </c>
      <c r="C52" s="1279" t="s">
        <v>189</v>
      </c>
      <c r="D52" s="1279" t="s">
        <v>190</v>
      </c>
      <c r="E52" s="2564"/>
      <c r="F52" s="2564"/>
      <c r="G52" s="2564"/>
      <c r="H52" s="2564"/>
      <c r="I52" s="2565"/>
      <c r="J52" s="1279"/>
      <c r="K52" s="1279"/>
      <c r="L52" s="1280"/>
      <c r="P52" s="2567"/>
      <c r="Q52" s="1247"/>
      <c r="R52" s="292"/>
      <c r="S52" s="119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1">
        <v>11</v>
      </c>
    </row>
    <row r="53" spans="1:45" ht="0" hidden="1" customHeight="1">
      <c r="A53" s="1279" t="s">
        <v>187</v>
      </c>
      <c r="B53" s="1279" t="s">
        <v>188</v>
      </c>
      <c r="C53" s="1279" t="s">
        <v>189</v>
      </c>
      <c r="D53" s="1279" t="s">
        <v>190</v>
      </c>
      <c r="E53" s="2564"/>
      <c r="F53" s="2564"/>
      <c r="G53" s="2564"/>
      <c r="H53" s="2563"/>
      <c r="I53" s="1279"/>
      <c r="J53" s="1279"/>
      <c r="K53" s="1279"/>
      <c r="L53" s="1280"/>
      <c r="M53" s="1281"/>
      <c r="N53" s="1281"/>
      <c r="O53" s="473"/>
      <c r="P53" s="296"/>
      <c r="Q53" s="311"/>
      <c r="R53" s="291"/>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36"/>
      <c r="AP53" s="436" t="str">
        <f t="shared" si="1"/>
        <v/>
      </c>
      <c r="AQ53" s="436"/>
      <c r="AR53" s="436"/>
      <c r="AS53" s="1071">
        <v>0</v>
      </c>
    </row>
    <row r="54" spans="1:45" s="2344" customFormat="1" ht="0" hidden="1" customHeight="1">
      <c r="A54" s="1259" t="s">
        <v>187</v>
      </c>
      <c r="B54" s="1259" t="s">
        <v>188</v>
      </c>
      <c r="C54" s="1259" t="s">
        <v>189</v>
      </c>
      <c r="D54" s="1230"/>
      <c r="E54" s="2564"/>
      <c r="F54" s="2564"/>
      <c r="G54" s="2563"/>
      <c r="H54" s="1230"/>
      <c r="I54" s="1230"/>
      <c r="J54" s="1230"/>
      <c r="K54" s="1230"/>
      <c r="L54" s="1255"/>
      <c r="M54" s="1231"/>
      <c r="N54" s="1231"/>
      <c r="P54" s="1232"/>
      <c r="Q54" s="1233"/>
      <c r="R54" s="1232"/>
      <c r="S54" s="1238"/>
      <c r="T54" s="1241" t="s">
        <v>413</v>
      </c>
      <c r="U54" s="1240"/>
      <c r="V54" s="1240"/>
      <c r="W54" s="1240"/>
      <c r="X54" s="1240"/>
      <c r="Y54" s="1240"/>
      <c r="Z54" s="1240"/>
      <c r="AA54" s="1240"/>
      <c r="AB54" s="1240"/>
      <c r="AC54" s="1240"/>
      <c r="AD54" s="1240"/>
      <c r="AE54" s="1240"/>
      <c r="AF54" s="1240"/>
      <c r="AG54" s="1240"/>
      <c r="AH54" s="1240"/>
      <c r="AI54" s="1240"/>
      <c r="AJ54" s="1240"/>
      <c r="AK54" s="1240"/>
      <c r="AL54" s="1240"/>
      <c r="AM54" s="1240"/>
      <c r="AO54" s="719"/>
      <c r="AP54" s="719" t="str">
        <f t="shared" si="1"/>
        <v>Добавить источник для дифференциации</v>
      </c>
      <c r="AQ54" s="719"/>
      <c r="AR54" s="719"/>
      <c r="AS54" s="454">
        <v>0</v>
      </c>
    </row>
    <row r="55" spans="1:45" s="2344" customFormat="1" ht="0" hidden="1" customHeight="1">
      <c r="A55" s="1259" t="s">
        <v>187</v>
      </c>
      <c r="B55" s="1259" t="s">
        <v>188</v>
      </c>
      <c r="C55" s="1230"/>
      <c r="D55" s="1230"/>
      <c r="E55" s="2564"/>
      <c r="F55" s="2563"/>
      <c r="G55" s="1230"/>
      <c r="H55" s="1230"/>
      <c r="I55" s="1230"/>
      <c r="J55" s="1230"/>
      <c r="K55" s="1230"/>
      <c r="L55" s="1255"/>
      <c r="M55" s="1237"/>
      <c r="N55" s="1237"/>
      <c r="P55" s="1232"/>
      <c r="Q55" s="1233"/>
      <c r="R55" s="1232"/>
      <c r="S55" s="1238"/>
      <c r="T55" s="1241" t="s">
        <v>414</v>
      </c>
      <c r="U55" s="1240"/>
      <c r="V55" s="1240"/>
      <c r="W55" s="1240"/>
      <c r="X55" s="1240"/>
      <c r="Y55" s="1240"/>
      <c r="Z55" s="1240"/>
      <c r="AA55" s="1240"/>
      <c r="AB55" s="1240"/>
      <c r="AC55" s="1240"/>
      <c r="AD55" s="1240"/>
      <c r="AE55" s="1240"/>
      <c r="AF55" s="1240"/>
      <c r="AG55" s="1240"/>
      <c r="AH55" s="1240"/>
      <c r="AI55" s="1240"/>
      <c r="AJ55" s="1240"/>
      <c r="AK55" s="1240"/>
      <c r="AL55" s="1240"/>
      <c r="AM55" s="1240"/>
      <c r="AO55" s="719"/>
      <c r="AP55" s="719" t="str">
        <f t="shared" si="1"/>
        <v>Добавить централизованную систему для дифференциации</v>
      </c>
      <c r="AQ55" s="719"/>
      <c r="AR55" s="719"/>
      <c r="AS55" s="454">
        <v>0</v>
      </c>
    </row>
    <row r="56" spans="1:45" s="2344" customFormat="1" ht="0" hidden="1" customHeight="1">
      <c r="A56" s="1259" t="s">
        <v>187</v>
      </c>
      <c r="B56" s="1259"/>
      <c r="C56" s="1259"/>
      <c r="D56" s="1259"/>
      <c r="E56" s="2563"/>
      <c r="F56" s="1259"/>
      <c r="G56" s="1259"/>
      <c r="H56" s="1259"/>
      <c r="I56" s="1259"/>
      <c r="J56" s="1259"/>
      <c r="K56" s="1259"/>
      <c r="L56" s="1262"/>
      <c r="M56" s="1237"/>
      <c r="N56" s="1237"/>
      <c r="O56" s="454"/>
      <c r="P56" s="316"/>
      <c r="Q56" s="1260"/>
      <c r="R56" s="316"/>
      <c r="S56" s="1238"/>
      <c r="T56" s="1241" t="s">
        <v>415</v>
      </c>
      <c r="U56" s="1240"/>
      <c r="V56" s="1240"/>
      <c r="W56" s="1240"/>
      <c r="X56" s="1240"/>
      <c r="Y56" s="1240"/>
      <c r="Z56" s="1240"/>
      <c r="AA56" s="1240"/>
      <c r="AB56" s="1240"/>
      <c r="AC56" s="1240"/>
      <c r="AD56" s="1240"/>
      <c r="AE56" s="1240"/>
      <c r="AF56" s="1240"/>
      <c r="AG56" s="1240"/>
      <c r="AH56" s="1240"/>
      <c r="AI56" s="1240"/>
      <c r="AJ56" s="1240"/>
      <c r="AK56" s="1240"/>
      <c r="AL56" s="1240"/>
      <c r="AM56" s="1240"/>
      <c r="AO56" s="436"/>
      <c r="AP56" s="436" t="str">
        <f t="shared" si="1"/>
        <v>Добавить территорию для дифференциации</v>
      </c>
      <c r="AQ56" s="436"/>
      <c r="AR56" s="436"/>
      <c r="AS56" s="447">
        <v>0</v>
      </c>
    </row>
    <row r="57" spans="1:45" s="2344" customFormat="1" ht="4.1500000000000004" customHeight="1">
      <c r="A57" s="1230"/>
      <c r="B57" s="1230"/>
      <c r="C57" s="1230"/>
      <c r="D57" s="1230"/>
      <c r="E57" s="1259"/>
      <c r="F57" s="1230"/>
      <c r="G57" s="1230"/>
      <c r="H57" s="1230"/>
      <c r="I57" s="1230"/>
      <c r="J57" s="1230"/>
      <c r="K57" s="1230"/>
      <c r="L57" s="1255"/>
      <c r="M57" s="1237"/>
      <c r="N57" s="1237"/>
      <c r="P57" s="1232"/>
      <c r="Q57" s="1233"/>
      <c r="R57" s="1232"/>
      <c r="S57" s="1238"/>
      <c r="T57" s="1241" t="s">
        <v>447</v>
      </c>
      <c r="U57" s="1240"/>
      <c r="V57" s="1240"/>
      <c r="W57" s="1240"/>
      <c r="X57" s="1240"/>
      <c r="Y57" s="1240"/>
      <c r="Z57" s="1240"/>
      <c r="AA57" s="1240"/>
      <c r="AB57" s="1240"/>
      <c r="AC57" s="1240"/>
      <c r="AD57" s="1240"/>
      <c r="AE57" s="1240"/>
      <c r="AF57" s="1240"/>
      <c r="AG57" s="1240"/>
      <c r="AH57" s="1240"/>
      <c r="AI57" s="1240"/>
      <c r="AJ57" s="1240"/>
      <c r="AK57" s="1240"/>
      <c r="AL57" s="1240"/>
      <c r="AM57" s="1240"/>
      <c r="AO57" s="719"/>
      <c r="AP57" s="719" t="str">
        <f t="shared" si="1"/>
        <v>Добавить наименование тарифа</v>
      </c>
      <c r="AQ57" s="719"/>
      <c r="AR57" s="719"/>
      <c r="AS57" s="454">
        <v>4</v>
      </c>
    </row>
    <row r="58" spans="1:45" ht="11.45" customHeight="1">
      <c r="M58" s="1076"/>
      <c r="N58" s="1076"/>
      <c r="O58" s="473"/>
      <c r="P58" s="1071"/>
      <c r="Q58" s="1071"/>
      <c r="R58" s="1071"/>
      <c r="S58" s="1071"/>
      <c r="AN58" s="1071"/>
      <c r="AO58" s="1071"/>
      <c r="AP58" s="1071"/>
      <c r="AQ58" s="1071"/>
      <c r="AR58" s="1071"/>
      <c r="AS58" s="1071">
        <v>11</v>
      </c>
    </row>
    <row r="59" spans="1:45" ht="14.65" customHeight="1">
      <c r="O59" s="473"/>
      <c r="S59" s="1169"/>
      <c r="T59" s="2562"/>
      <c r="U59" s="2562"/>
      <c r="V59" s="2562"/>
      <c r="W59" s="2562"/>
      <c r="X59" s="2562"/>
      <c r="Y59" s="2562"/>
      <c r="Z59" s="2562"/>
      <c r="AA59" s="2562"/>
      <c r="AB59" s="2562"/>
      <c r="AC59" s="2562"/>
      <c r="AD59" s="2562"/>
      <c r="AE59" s="2562"/>
      <c r="AF59" s="2562"/>
      <c r="AG59" s="2562"/>
      <c r="AH59" s="2562"/>
      <c r="AI59" s="2562"/>
      <c r="AJ59" s="2562"/>
      <c r="AK59" s="2562"/>
      <c r="AL59" s="2562"/>
      <c r="AM59" s="2562"/>
      <c r="AS59" s="1071">
        <v>14</v>
      </c>
    </row>
    <row r="60" spans="1:45" ht="14.65" customHeight="1">
      <c r="O60" s="473"/>
      <c r="T60" s="2562"/>
      <c r="U60" s="2562"/>
      <c r="V60" s="2562"/>
      <c r="W60" s="2562"/>
      <c r="X60" s="2562"/>
      <c r="Y60" s="2562"/>
      <c r="Z60" s="2562"/>
      <c r="AA60" s="2562"/>
      <c r="AB60" s="2562"/>
      <c r="AC60" s="2562"/>
      <c r="AD60" s="2562"/>
      <c r="AE60" s="2562"/>
      <c r="AF60" s="2562"/>
      <c r="AG60" s="2562"/>
      <c r="AH60" s="2562"/>
      <c r="AI60" s="2562"/>
      <c r="AJ60" s="2562"/>
      <c r="AK60" s="2562"/>
      <c r="AL60" s="2562"/>
      <c r="AM60" s="2562"/>
      <c r="AS60" s="1071">
        <v>14</v>
      </c>
    </row>
    <row r="61" spans="1:45" ht="14.65" customHeight="1">
      <c r="O61" s="473"/>
      <c r="T61" s="2562"/>
      <c r="U61" s="2562"/>
      <c r="V61" s="2562"/>
      <c r="W61" s="2562"/>
      <c r="X61" s="2562"/>
      <c r="Y61" s="2562"/>
      <c r="Z61" s="2562"/>
      <c r="AA61" s="2562"/>
      <c r="AB61" s="2562"/>
      <c r="AC61" s="2562"/>
      <c r="AD61" s="2562"/>
      <c r="AE61" s="2562"/>
      <c r="AF61" s="2562"/>
      <c r="AG61" s="2562"/>
      <c r="AH61" s="2562"/>
      <c r="AI61" s="2562"/>
      <c r="AJ61" s="2562"/>
      <c r="AK61" s="2562"/>
      <c r="AL61" s="2562"/>
      <c r="AM61" s="2562"/>
      <c r="AS61" s="1071">
        <v>14</v>
      </c>
    </row>
    <row r="62" spans="1:45" ht="14.65" customHeight="1">
      <c r="O62" s="473"/>
      <c r="AS62" s="1071">
        <v>14</v>
      </c>
    </row>
    <row r="63" spans="1:45" ht="14.65" customHeight="1">
      <c r="O63" s="473"/>
      <c r="S63" s="1169"/>
      <c r="T63" s="2475"/>
      <c r="U63" s="2562"/>
      <c r="V63" s="2562"/>
      <c r="W63" s="2562"/>
      <c r="X63" s="2562"/>
      <c r="Y63" s="2562"/>
      <c r="Z63" s="2562"/>
      <c r="AA63" s="2562"/>
      <c r="AB63" s="2562"/>
      <c r="AC63" s="2562"/>
      <c r="AD63" s="2562"/>
      <c r="AE63" s="2562"/>
      <c r="AF63" s="2562"/>
      <c r="AG63" s="2562"/>
      <c r="AH63" s="2562"/>
      <c r="AI63" s="2562"/>
      <c r="AJ63" s="2562"/>
      <c r="AK63" s="2562"/>
      <c r="AL63" s="2562"/>
      <c r="AM63" s="2562"/>
      <c r="AS63" s="1071">
        <v>14</v>
      </c>
    </row>
    <row r="64" spans="1:45" ht="14.65" customHeight="1">
      <c r="O64" s="473"/>
      <c r="T64" s="2562"/>
      <c r="U64" s="2562"/>
      <c r="V64" s="2562"/>
      <c r="W64" s="2562"/>
      <c r="X64" s="2562"/>
      <c r="Y64" s="2562"/>
      <c r="Z64" s="2562"/>
      <c r="AA64" s="2562"/>
      <c r="AB64" s="2562"/>
      <c r="AC64" s="2562"/>
      <c r="AD64" s="2562"/>
      <c r="AE64" s="2562"/>
      <c r="AF64" s="2562"/>
      <c r="AG64" s="2562"/>
      <c r="AH64" s="2562"/>
      <c r="AI64" s="2562"/>
      <c r="AJ64" s="2562"/>
      <c r="AK64" s="2562"/>
      <c r="AL64" s="2562"/>
      <c r="AM64" s="2562"/>
      <c r="AS64" s="1071">
        <v>14</v>
      </c>
    </row>
    <row r="65" spans="1:45" ht="14.65" customHeight="1">
      <c r="T65" s="2562"/>
      <c r="U65" s="2562"/>
      <c r="V65" s="2562"/>
      <c r="W65" s="2562"/>
      <c r="X65" s="2562"/>
      <c r="Y65" s="2562"/>
      <c r="Z65" s="2562"/>
      <c r="AA65" s="2562"/>
      <c r="AB65" s="2562"/>
      <c r="AC65" s="2562"/>
      <c r="AD65" s="2562"/>
      <c r="AE65" s="2562"/>
      <c r="AF65" s="2562"/>
      <c r="AG65" s="2562"/>
      <c r="AH65" s="2562"/>
      <c r="AI65" s="2562"/>
      <c r="AJ65" s="2562"/>
      <c r="AK65" s="2562"/>
      <c r="AL65" s="2562"/>
      <c r="AM65" s="2562"/>
      <c r="AS65" s="1071">
        <v>14</v>
      </c>
    </row>
    <row r="66" spans="1:45" ht="22.5" hidden="1" customHeight="1">
      <c r="A66" s="1076" t="s">
        <v>82</v>
      </c>
      <c r="B66" s="1076">
        <v>0</v>
      </c>
      <c r="C66" s="1076">
        <v>0</v>
      </c>
      <c r="D66" s="1076">
        <v>0</v>
      </c>
      <c r="E66" s="1076">
        <v>0</v>
      </c>
      <c r="F66" s="1076">
        <v>0</v>
      </c>
      <c r="G66" s="1076">
        <v>0</v>
      </c>
      <c r="H66" s="1076">
        <v>0</v>
      </c>
      <c r="I66" s="1076">
        <v>0</v>
      </c>
      <c r="J66" s="1076">
        <v>0</v>
      </c>
      <c r="K66" s="1076">
        <v>0</v>
      </c>
      <c r="L66" s="1245">
        <v>0</v>
      </c>
      <c r="M66" s="1278">
        <v>0</v>
      </c>
      <c r="N66" s="1278">
        <v>0</v>
      </c>
      <c r="O66" s="1278">
        <v>0</v>
      </c>
      <c r="P66" s="1244">
        <v>0</v>
      </c>
      <c r="Q66" s="281">
        <v>3</v>
      </c>
      <c r="R66" s="281">
        <v>3</v>
      </c>
      <c r="S66" s="517">
        <v>12</v>
      </c>
      <c r="T66" s="1071">
        <v>31</v>
      </c>
      <c r="U66" s="1071">
        <v>0</v>
      </c>
      <c r="V66" s="1071">
        <v>0</v>
      </c>
      <c r="W66" s="1071">
        <v>0</v>
      </c>
      <c r="X66" s="1071">
        <v>0</v>
      </c>
      <c r="Y66" s="1071">
        <v>0</v>
      </c>
      <c r="Z66" s="1071">
        <v>0</v>
      </c>
      <c r="AA66" s="1071">
        <v>0</v>
      </c>
      <c r="AB66" s="1071">
        <v>0</v>
      </c>
      <c r="AC66" s="1071">
        <v>0</v>
      </c>
      <c r="AD66" s="1071">
        <v>24</v>
      </c>
      <c r="AE66" s="1071">
        <v>0</v>
      </c>
      <c r="AF66" s="1071">
        <v>24</v>
      </c>
      <c r="AG66" s="1071">
        <v>24</v>
      </c>
      <c r="AH66" s="1071">
        <v>11</v>
      </c>
      <c r="AI66" s="1071">
        <v>3</v>
      </c>
      <c r="AJ66" s="1071">
        <v>11</v>
      </c>
      <c r="AK66" s="1071">
        <v>0</v>
      </c>
      <c r="AL66" s="1071">
        <v>4</v>
      </c>
      <c r="AM66" s="1071">
        <v>115</v>
      </c>
      <c r="AN66" s="447">
        <v>10</v>
      </c>
      <c r="AO66" s="447">
        <v>10</v>
      </c>
      <c r="AP66" s="447">
        <v>10</v>
      </c>
      <c r="AQ66" s="447">
        <v>10</v>
      </c>
      <c r="AR66" s="447">
        <v>10</v>
      </c>
      <c r="AS66" s="107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360" hidden="1"/>
    <col min="2" max="2" width="11" style="2360" hidden="1" customWidth="1"/>
    <col min="3" max="3" width="10.5703125" style="2360" hidden="1"/>
    <col min="4" max="4" width="11.85546875" style="2360" hidden="1" customWidth="1"/>
    <col min="5" max="5" width="10" style="2360" hidden="1" customWidth="1"/>
    <col min="6" max="6" width="8.7109375" style="2360" hidden="1" customWidth="1"/>
    <col min="7" max="7" width="7.5703125" style="2360" hidden="1" customWidth="1"/>
    <col min="8" max="8" width="11.42578125" style="2360" hidden="1" customWidth="1"/>
    <col min="9" max="9" width="12" style="2360" hidden="1" customWidth="1"/>
    <col min="10" max="10" width="9.85546875" style="2360" hidden="1" customWidth="1"/>
    <col min="11" max="12" width="11.42578125" style="2360" hidden="1" customWidth="1"/>
    <col min="13" max="13" width="19.140625" style="2388" hidden="1" customWidth="1"/>
    <col min="14" max="15" width="12.28515625" style="2392" hidden="1" customWidth="1"/>
    <col min="16" max="16" width="23.42578125" style="2392" hidden="1" customWidth="1"/>
    <col min="17" max="17" width="3.7109375" style="2392" hidden="1" customWidth="1"/>
    <col min="18" max="20" width="3" style="2359" customWidth="1"/>
    <col min="21" max="21" width="12" style="2387" customWidth="1"/>
    <col min="22" max="22" width="31" style="2360" customWidth="1"/>
    <col min="23" max="23" width="0.140625" style="2360" customWidth="1"/>
    <col min="24" max="28" width="21.7109375" style="2360" hidden="1" customWidth="1"/>
    <col min="29" max="29" width="11.7109375" style="2360" hidden="1" customWidth="1"/>
    <col min="30" max="30" width="3.7109375" style="2360" hidden="1" customWidth="1"/>
    <col min="31" max="31" width="11.7109375" style="2360" hidden="1" customWidth="1"/>
    <col min="32" max="32" width="8.5703125" style="2360" hidden="1" customWidth="1"/>
    <col min="33" max="33" width="21.7109375" style="2360" customWidth="1"/>
    <col min="34" max="37" width="21" style="2360" customWidth="1"/>
    <col min="38" max="38" width="11" style="2360" customWidth="1"/>
    <col min="39" max="39" width="3.7109375" style="2360" customWidth="1"/>
    <col min="40" max="40" width="11" style="2360" customWidth="1"/>
    <col min="41" max="41" width="8.5703125" style="2360" hidden="1" customWidth="1"/>
    <col min="42" max="42" width="4" style="2360" customWidth="1"/>
    <col min="43" max="43" width="115" style="2360" customWidth="1"/>
    <col min="44" max="48" width="10" style="2344" customWidth="1"/>
    <col min="49" max="49" width="10.5703125" style="2360" hidden="1"/>
  </cols>
  <sheetData>
    <row r="1" spans="1:49" ht="22.5" hidden="1" customHeight="1">
      <c r="AB1" s="264"/>
      <c r="AC1" s="264"/>
      <c r="AK1" s="264"/>
      <c r="AL1" s="264"/>
      <c r="AW1" s="1071" t="s">
        <v>14</v>
      </c>
    </row>
    <row r="2" spans="1:49" ht="21" hidden="1" customHeight="1">
      <c r="A2" s="1183"/>
      <c r="B2" s="1183"/>
      <c r="C2" s="1183"/>
      <c r="D2" s="1183"/>
      <c r="E2" s="2589">
        <v>1</v>
      </c>
      <c r="F2" s="1183"/>
      <c r="G2" s="1183"/>
      <c r="H2" s="1183"/>
      <c r="I2" s="1183"/>
      <c r="J2" s="1183"/>
      <c r="K2" s="1183"/>
      <c r="L2" s="1183"/>
      <c r="M2" s="1226"/>
      <c r="N2" s="624"/>
      <c r="O2" s="624"/>
      <c r="P2" s="624"/>
      <c r="Q2" s="297"/>
      <c r="R2" s="296"/>
      <c r="S2" s="296"/>
      <c r="T2" s="291"/>
      <c r="U2" s="1252" t="e">
        <f>INDEX(PT_DIFFERENTIATION_NUM_NTAR,MATCH(A2,PT_DIFFERENTIATION_NTAR_ID,0))</f>
        <v>#N/A</v>
      </c>
      <c r="V2" s="235" t="s">
        <v>124</v>
      </c>
      <c r="W2" s="237"/>
      <c r="X2" s="2557"/>
      <c r="Y2" s="2558"/>
      <c r="Z2" s="2558"/>
      <c r="AA2" s="2558"/>
      <c r="AB2" s="2558"/>
      <c r="AC2" s="2558"/>
      <c r="AD2" s="2558"/>
      <c r="AE2" s="2558"/>
      <c r="AF2" s="2559"/>
      <c r="AG2" s="2557" t="e">
        <f>INDEX(PT_DIFFERENTIATION_NTAR,MATCH(A2,PT_DIFFERENTIATION_NTAR_ID,0))</f>
        <v>#N/A</v>
      </c>
      <c r="AH2" s="2558"/>
      <c r="AI2" s="2558"/>
      <c r="AJ2" s="2558"/>
      <c r="AK2" s="2558"/>
      <c r="AL2" s="2558"/>
      <c r="AM2" s="2558"/>
      <c r="AN2" s="2558"/>
      <c r="AO2" s="2558"/>
      <c r="AP2" s="2559"/>
      <c r="AQ2" s="1174" t="s">
        <v>395</v>
      </c>
      <c r="AS2" s="436"/>
      <c r="AT2" s="436" t="str">
        <f t="shared" ref="AT2:AT8" si="0">IF(V2="","",V2)</f>
        <v>Наименование тарифа</v>
      </c>
      <c r="AU2" s="436"/>
      <c r="AV2" s="436"/>
      <c r="AW2" s="1071">
        <v>0</v>
      </c>
    </row>
    <row r="3" spans="1:49" ht="21" hidden="1" customHeight="1">
      <c r="A3" s="1183"/>
      <c r="B3" s="1183"/>
      <c r="C3" s="1183"/>
      <c r="D3" s="1183"/>
      <c r="E3" s="2590"/>
      <c r="F3" s="2589">
        <v>1</v>
      </c>
      <c r="G3" s="1183"/>
      <c r="H3" s="1183"/>
      <c r="I3" s="1183"/>
      <c r="J3" s="1183"/>
      <c r="K3" s="1183"/>
      <c r="L3" s="1183"/>
      <c r="M3" s="1226"/>
      <c r="N3" s="624"/>
      <c r="O3" s="624"/>
      <c r="P3" s="624"/>
      <c r="Q3" s="1248"/>
      <c r="R3" s="288"/>
      <c r="S3" s="445"/>
      <c r="T3" s="289"/>
      <c r="U3" s="1252" t="e">
        <f>INDEX(PT_DIFFERENTIATION_NUM_TER,MATCH(B3,PT_DIFFERENTIATION_TER_ID,0))</f>
        <v>#N/A</v>
      </c>
      <c r="V3" s="245" t="s">
        <v>396</v>
      </c>
      <c r="W3" s="237"/>
      <c r="X3" s="2557"/>
      <c r="Y3" s="2558"/>
      <c r="Z3" s="2558"/>
      <c r="AA3" s="2558"/>
      <c r="AB3" s="2558"/>
      <c r="AC3" s="2558"/>
      <c r="AD3" s="2558"/>
      <c r="AE3" s="2558"/>
      <c r="AF3" s="2559"/>
      <c r="AG3" s="2557" t="e">
        <f>INDEX(PT_DIFFERENTIATION_TER,MATCH(B3,PT_DIFFERENTIATION_TER_ID,0))</f>
        <v>#N/A</v>
      </c>
      <c r="AH3" s="2558"/>
      <c r="AI3" s="2558"/>
      <c r="AJ3" s="2558"/>
      <c r="AK3" s="2558"/>
      <c r="AL3" s="2558"/>
      <c r="AM3" s="2558"/>
      <c r="AN3" s="2558"/>
      <c r="AO3" s="2558"/>
      <c r="AP3" s="2559"/>
      <c r="AQ3" s="1174" t="s">
        <v>397</v>
      </c>
      <c r="AS3" s="436"/>
      <c r="AT3" s="436" t="str">
        <f t="shared" si="0"/>
        <v>Территория действия тарифа</v>
      </c>
      <c r="AU3" s="436"/>
      <c r="AV3" s="436"/>
      <c r="AW3" s="1071">
        <v>0</v>
      </c>
    </row>
    <row r="4" spans="1:49" ht="22.5" hidden="1" customHeight="1">
      <c r="A4" s="1183"/>
      <c r="B4" s="1183"/>
      <c r="C4" s="1183"/>
      <c r="D4" s="1183"/>
      <c r="E4" s="2590"/>
      <c r="F4" s="2590"/>
      <c r="G4" s="2589">
        <v>1</v>
      </c>
      <c r="H4" s="1183"/>
      <c r="I4" s="1183"/>
      <c r="J4" s="1183"/>
      <c r="K4" s="1183"/>
      <c r="L4" s="1183"/>
      <c r="M4" s="1226"/>
      <c r="N4" s="624"/>
      <c r="O4" s="624"/>
      <c r="P4" s="624"/>
      <c r="Q4" s="290"/>
      <c r="R4" s="288"/>
      <c r="S4" s="445"/>
      <c r="T4" s="289"/>
      <c r="U4" s="1252" t="e">
        <f>INDEX(PT_DIFFERENTIATION_NUM_CS,MATCH(C4,PT_DIFFERENTIATION_CS_ID,0))</f>
        <v>#N/A</v>
      </c>
      <c r="V4" s="246" t="s">
        <v>398</v>
      </c>
      <c r="W4" s="237"/>
      <c r="X4" s="2557"/>
      <c r="Y4" s="2558"/>
      <c r="Z4" s="2558"/>
      <c r="AA4" s="2558"/>
      <c r="AB4" s="2558"/>
      <c r="AC4" s="2558"/>
      <c r="AD4" s="2558"/>
      <c r="AE4" s="2558"/>
      <c r="AF4" s="2559"/>
      <c r="AG4" s="2557" t="e">
        <f>INDEX(PT_DIFFERENTIATION_CS,MATCH(C4,PT_DIFFERENTIATION_CS_ID,0))</f>
        <v>#N/A</v>
      </c>
      <c r="AH4" s="2558"/>
      <c r="AI4" s="2558"/>
      <c r="AJ4" s="2558"/>
      <c r="AK4" s="2558"/>
      <c r="AL4" s="2558"/>
      <c r="AM4" s="2558"/>
      <c r="AN4" s="2558"/>
      <c r="AO4" s="2558"/>
      <c r="AP4" s="2559"/>
      <c r="AQ4" s="1174" t="s">
        <v>399</v>
      </c>
      <c r="AS4" s="436"/>
      <c r="AT4" s="436" t="str">
        <f t="shared" si="0"/>
        <v xml:space="preserve">Наименование системы теплоснабжения </v>
      </c>
      <c r="AU4" s="436"/>
      <c r="AV4" s="436"/>
      <c r="AW4" s="1071">
        <v>0</v>
      </c>
    </row>
    <row r="5" spans="1:49" ht="21" hidden="1" customHeight="1">
      <c r="A5" s="1183"/>
      <c r="B5" s="1183"/>
      <c r="C5" s="1183"/>
      <c r="D5" s="1183"/>
      <c r="E5" s="2590"/>
      <c r="F5" s="2590"/>
      <c r="G5" s="2590"/>
      <c r="H5" s="2589">
        <v>1</v>
      </c>
      <c r="I5" s="1183"/>
      <c r="J5" s="1183"/>
      <c r="K5" s="1183"/>
      <c r="L5" s="1183"/>
      <c r="M5" s="1226"/>
      <c r="N5" s="624"/>
      <c r="O5" s="624"/>
      <c r="P5" s="624"/>
      <c r="Q5" s="290"/>
      <c r="R5" s="288"/>
      <c r="S5" s="445"/>
      <c r="T5" s="289"/>
      <c r="U5" s="1252" t="e">
        <f>INDEX(PT_DIFFERENTIATION_NUM_IST_TE,MATCH(D5,PT_DIFFERENTIATION_IST_TE_ID,0))</f>
        <v>#N/A</v>
      </c>
      <c r="V5" s="247" t="s">
        <v>400</v>
      </c>
      <c r="W5" s="237"/>
      <c r="X5" s="2557"/>
      <c r="Y5" s="2558"/>
      <c r="Z5" s="2558"/>
      <c r="AA5" s="2558"/>
      <c r="AB5" s="2558"/>
      <c r="AC5" s="2558"/>
      <c r="AD5" s="2558"/>
      <c r="AE5" s="2558"/>
      <c r="AF5" s="2559"/>
      <c r="AG5" s="2557" t="e">
        <f>INDEX(PT_DIFFERENTIATION_IST_TE,MATCH(D5,PT_DIFFERENTIATION_IST_TE_ID,0))</f>
        <v>#N/A</v>
      </c>
      <c r="AH5" s="2558"/>
      <c r="AI5" s="2558"/>
      <c r="AJ5" s="2558"/>
      <c r="AK5" s="2558"/>
      <c r="AL5" s="2558"/>
      <c r="AM5" s="2558"/>
      <c r="AN5" s="2558"/>
      <c r="AO5" s="2558"/>
      <c r="AP5" s="2559"/>
      <c r="AQ5" s="1174" t="s">
        <v>401</v>
      </c>
      <c r="AS5" s="436"/>
      <c r="AT5" s="436" t="str">
        <f t="shared" si="0"/>
        <v xml:space="preserve">Источник тепловой энергии  </v>
      </c>
      <c r="AU5" s="436"/>
      <c r="AV5" s="436"/>
      <c r="AW5" s="1071">
        <v>0</v>
      </c>
    </row>
    <row r="6" spans="1:49" ht="14.25" hidden="1" customHeight="1">
      <c r="A6" s="1183"/>
      <c r="B6" s="1183"/>
      <c r="C6" s="1183"/>
      <c r="D6" s="1183"/>
      <c r="E6" s="2590"/>
      <c r="F6" s="2590"/>
      <c r="G6" s="2590"/>
      <c r="H6" s="2590"/>
      <c r="I6" s="2435" t="e">
        <f>U5&amp;".1"</f>
        <v>#N/A</v>
      </c>
      <c r="J6" s="1183"/>
      <c r="K6" s="1183"/>
      <c r="L6" s="1183"/>
      <c r="M6" s="1226" t="s">
        <v>402</v>
      </c>
      <c r="N6" s="445"/>
      <c r="Q6" s="2567">
        <v>1</v>
      </c>
      <c r="R6" s="1247"/>
      <c r="S6" s="1247"/>
      <c r="T6" s="292"/>
      <c r="U6" s="964"/>
      <c r="V6" s="1299"/>
      <c r="W6" s="1300"/>
      <c r="X6" s="2594"/>
      <c r="Y6" s="2595"/>
      <c r="Z6" s="2595"/>
      <c r="AA6" s="2595"/>
      <c r="AB6" s="2595"/>
      <c r="AC6" s="2595"/>
      <c r="AD6" s="2595"/>
      <c r="AE6" s="2595"/>
      <c r="AF6" s="2596"/>
      <c r="AG6" s="2594"/>
      <c r="AH6" s="2595"/>
      <c r="AI6" s="2595"/>
      <c r="AJ6" s="2595"/>
      <c r="AK6" s="2595"/>
      <c r="AL6" s="2595"/>
      <c r="AM6" s="2595"/>
      <c r="AN6" s="2595"/>
      <c r="AO6" s="2595"/>
      <c r="AP6" s="2596"/>
      <c r="AQ6" s="1301"/>
      <c r="AS6" s="436"/>
      <c r="AT6" s="436" t="str">
        <f t="shared" si="0"/>
        <v/>
      </c>
      <c r="AU6" s="436"/>
      <c r="AV6" s="436"/>
      <c r="AW6" s="1071">
        <v>0</v>
      </c>
    </row>
    <row r="7" spans="1:49" ht="21" hidden="1" customHeight="1">
      <c r="A7" s="1183"/>
      <c r="B7" s="1183"/>
      <c r="C7" s="1183"/>
      <c r="D7" s="1183"/>
      <c r="E7" s="2590"/>
      <c r="F7" s="2590"/>
      <c r="G7" s="2590"/>
      <c r="H7" s="2590"/>
      <c r="I7" s="2417"/>
      <c r="J7" s="2435" t="e">
        <f>I6&amp;".1"</f>
        <v>#N/A</v>
      </c>
      <c r="K7" s="1183"/>
      <c r="L7" s="1183"/>
      <c r="M7" s="1226" t="s">
        <v>405</v>
      </c>
      <c r="N7" s="445"/>
      <c r="O7" s="264"/>
      <c r="Q7" s="2567"/>
      <c r="R7" s="2567">
        <v>1</v>
      </c>
      <c r="S7" s="454"/>
      <c r="T7" s="293"/>
      <c r="U7" s="1252" t="e">
        <f>$J7</f>
        <v>#N/A</v>
      </c>
      <c r="V7" s="223" t="s">
        <v>406</v>
      </c>
      <c r="W7" s="237"/>
      <c r="X7" s="2551"/>
      <c r="Y7" s="2552"/>
      <c r="Z7" s="2552"/>
      <c r="AA7" s="2552"/>
      <c r="AB7" s="2552"/>
      <c r="AC7" s="2547"/>
      <c r="AD7" s="2547"/>
      <c r="AE7" s="2547"/>
      <c r="AF7" s="2607"/>
      <c r="AG7" s="2551"/>
      <c r="AH7" s="2552"/>
      <c r="AI7" s="2552"/>
      <c r="AJ7" s="2552"/>
      <c r="AK7" s="2552"/>
      <c r="AL7" s="2552"/>
      <c r="AM7" s="2552"/>
      <c r="AN7" s="2552"/>
      <c r="AO7" s="2552"/>
      <c r="AP7" s="2553"/>
      <c r="AQ7" s="1174" t="s">
        <v>407</v>
      </c>
      <c r="AS7" s="436"/>
      <c r="AT7" s="436" t="str">
        <f t="shared" si="0"/>
        <v>Группа потребителей</v>
      </c>
      <c r="AU7" s="436"/>
      <c r="AV7" s="436"/>
      <c r="AW7" s="1071">
        <v>0</v>
      </c>
    </row>
    <row r="8" spans="1:49" ht="21" hidden="1" customHeight="1">
      <c r="A8" s="1183"/>
      <c r="B8" s="1183"/>
      <c r="C8" s="1183"/>
      <c r="D8" s="1183"/>
      <c r="E8" s="2590"/>
      <c r="F8" s="2590"/>
      <c r="G8" s="2590"/>
      <c r="H8" s="2590"/>
      <c r="I8" s="2417"/>
      <c r="J8" s="2417"/>
      <c r="K8" s="2435" t="e">
        <f>J7&amp;".1"</f>
        <v>#N/A</v>
      </c>
      <c r="L8" s="78"/>
      <c r="M8" s="1226" t="s">
        <v>408</v>
      </c>
      <c r="N8" s="445"/>
      <c r="O8" s="264"/>
      <c r="P8" s="264"/>
      <c r="Q8" s="2567"/>
      <c r="R8" s="2567"/>
      <c r="S8" s="2567">
        <v>1</v>
      </c>
      <c r="T8" s="293"/>
      <c r="U8" s="1252" t="e">
        <f>$K8</f>
        <v>#N/A</v>
      </c>
      <c r="V8" s="1263"/>
      <c r="W8" s="237"/>
      <c r="X8" s="687"/>
      <c r="Y8" s="687"/>
      <c r="Z8" s="687"/>
      <c r="AA8" s="687"/>
      <c r="AB8" s="1321"/>
      <c r="AC8" s="2568"/>
      <c r="AD8" s="2445" t="s">
        <v>62</v>
      </c>
      <c r="AE8" s="2568"/>
      <c r="AF8" s="2445" t="s">
        <v>62</v>
      </c>
      <c r="AG8" s="1323"/>
      <c r="AH8" s="687"/>
      <c r="AI8" s="687"/>
      <c r="AJ8" s="687"/>
      <c r="AK8" s="1173"/>
      <c r="AL8" s="2568"/>
      <c r="AM8" s="2445" t="s">
        <v>62</v>
      </c>
      <c r="AN8" s="2568"/>
      <c r="AO8" s="2445" t="s">
        <v>62</v>
      </c>
      <c r="AP8" s="262"/>
      <c r="AQ8" s="1223" t="s">
        <v>451</v>
      </c>
      <c r="AR8" s="447" t="e">
        <f ca="1">STRCHECKDATE(X10:AP10)</f>
        <v>#NAME?</v>
      </c>
      <c r="AS8" s="436"/>
      <c r="AT8" s="436" t="str">
        <f t="shared" si="0"/>
        <v/>
      </c>
      <c r="AU8" s="436"/>
      <c r="AV8" s="436"/>
      <c r="AW8" s="1071">
        <v>0</v>
      </c>
    </row>
    <row r="9" spans="1:49" ht="21" hidden="1" customHeight="1">
      <c r="A9" s="1183"/>
      <c r="B9" s="1183"/>
      <c r="C9" s="1183"/>
      <c r="D9" s="1183"/>
      <c r="E9" s="2590"/>
      <c r="F9" s="2590"/>
      <c r="G9" s="2590"/>
      <c r="H9" s="2590"/>
      <c r="I9" s="2417"/>
      <c r="J9" s="2417"/>
      <c r="K9" s="2417"/>
      <c r="L9" s="2435" t="e">
        <f>K8&amp;".1"</f>
        <v>#N/A</v>
      </c>
      <c r="M9" s="1226"/>
      <c r="N9" s="445"/>
      <c r="O9" s="264"/>
      <c r="P9" s="264"/>
      <c r="Q9" s="2567"/>
      <c r="R9" s="2567"/>
      <c r="S9" s="2567"/>
      <c r="T9" s="293"/>
      <c r="U9" s="1252" t="e">
        <f>$L9</f>
        <v>#N/A</v>
      </c>
      <c r="V9" s="1307"/>
      <c r="W9" s="237"/>
      <c r="X9" s="262"/>
      <c r="Y9" s="687"/>
      <c r="Z9" s="687"/>
      <c r="AA9" s="687"/>
      <c r="AB9" s="1321"/>
      <c r="AC9" s="2569"/>
      <c r="AD9" s="2445"/>
      <c r="AE9" s="2569"/>
      <c r="AF9" s="2445"/>
      <c r="AG9" s="1323"/>
      <c r="AH9" s="687"/>
      <c r="AI9" s="687"/>
      <c r="AJ9" s="687"/>
      <c r="AK9" s="1173"/>
      <c r="AL9" s="2569"/>
      <c r="AM9" s="2445"/>
      <c r="AN9" s="2569"/>
      <c r="AO9" s="2445"/>
      <c r="AP9" s="262"/>
      <c r="AQ9" s="2586" t="s">
        <v>452</v>
      </c>
      <c r="AS9" s="436"/>
      <c r="AT9" s="436"/>
      <c r="AU9" s="436"/>
      <c r="AV9" s="436"/>
      <c r="AW9" s="1071">
        <v>0</v>
      </c>
    </row>
    <row r="10" spans="1:49" ht="14.25" hidden="1" customHeight="1">
      <c r="A10" s="1183"/>
      <c r="B10" s="1183"/>
      <c r="C10" s="1183"/>
      <c r="D10" s="1183"/>
      <c r="E10" s="2590"/>
      <c r="F10" s="2590"/>
      <c r="G10" s="2590"/>
      <c r="H10" s="2590"/>
      <c r="I10" s="2417"/>
      <c r="J10" s="2417"/>
      <c r="K10" s="2417"/>
      <c r="L10" s="2435"/>
      <c r="M10" s="1226"/>
      <c r="N10" s="445"/>
      <c r="O10" s="264"/>
      <c r="P10" s="264"/>
      <c r="Q10" s="2567"/>
      <c r="R10" s="2567"/>
      <c r="S10" s="2567"/>
      <c r="T10" s="293"/>
      <c r="U10" s="1258"/>
      <c r="V10" s="237"/>
      <c r="W10" s="237"/>
      <c r="X10" s="262"/>
      <c r="Y10" s="262"/>
      <c r="Z10" s="262"/>
      <c r="AA10" s="262"/>
      <c r="AB10" s="1322" t="str">
        <f>AC8&amp;"-"&amp;AE8</f>
        <v>-</v>
      </c>
      <c r="AC10" s="2569"/>
      <c r="AD10" s="2445"/>
      <c r="AE10" s="2569"/>
      <c r="AF10" s="2445"/>
      <c r="AG10" s="1298"/>
      <c r="AH10" s="262"/>
      <c r="AI10" s="262"/>
      <c r="AJ10" s="262"/>
      <c r="AK10" s="265" t="str">
        <f>AL8&amp;"-"&amp;AN8</f>
        <v>-</v>
      </c>
      <c r="AL10" s="2569"/>
      <c r="AM10" s="2445"/>
      <c r="AN10" s="2569"/>
      <c r="AO10" s="2445"/>
      <c r="AP10" s="262"/>
      <c r="AQ10" s="2587"/>
      <c r="AS10" s="436"/>
      <c r="AT10" s="436" t="str">
        <f>IF(V10="","",V10)</f>
        <v/>
      </c>
      <c r="AU10" s="436"/>
      <c r="AV10" s="436"/>
      <c r="AW10" s="1071">
        <v>0</v>
      </c>
    </row>
    <row r="11" spans="1:49" ht="11.25" hidden="1" customHeight="1">
      <c r="A11" s="1183"/>
      <c r="B11" s="1183"/>
      <c r="C11" s="1183"/>
      <c r="D11" s="1183"/>
      <c r="E11" s="2590"/>
      <c r="F11" s="2590"/>
      <c r="G11" s="2590"/>
      <c r="H11" s="2590"/>
      <c r="I11" s="2417"/>
      <c r="J11" s="2417"/>
      <c r="K11" s="2435"/>
      <c r="L11" s="1183"/>
      <c r="M11" s="1226"/>
      <c r="N11" s="445"/>
      <c r="O11" s="264"/>
      <c r="P11" s="264"/>
      <c r="Q11" s="2567"/>
      <c r="R11" s="2567"/>
      <c r="S11" s="2567"/>
      <c r="T11" s="293"/>
      <c r="U11" s="1194"/>
      <c r="V11" s="225" t="s">
        <v>453</v>
      </c>
      <c r="W11" s="1308"/>
      <c r="X11" s="1309"/>
      <c r="Y11" s="1309"/>
      <c r="Z11" s="1309"/>
      <c r="AA11" s="1309"/>
      <c r="AB11" s="1310"/>
      <c r="AC11" s="2569"/>
      <c r="AD11" s="2445"/>
      <c r="AE11" s="2569"/>
      <c r="AF11" s="2445"/>
      <c r="AG11" s="1309"/>
      <c r="AH11" s="1309"/>
      <c r="AI11" s="1309"/>
      <c r="AJ11" s="1309"/>
      <c r="AK11" s="1310"/>
      <c r="AL11" s="2569"/>
      <c r="AM11" s="2445"/>
      <c r="AN11" s="2569"/>
      <c r="AO11" s="2445"/>
      <c r="AP11" s="1311"/>
      <c r="AQ11" s="2587"/>
      <c r="AS11" s="436"/>
      <c r="AT11" s="436"/>
      <c r="AU11" s="436"/>
      <c r="AV11" s="436"/>
      <c r="AW11" s="1071">
        <v>0</v>
      </c>
    </row>
    <row r="12" spans="1:49" ht="15" hidden="1" customHeight="1">
      <c r="A12" s="1183"/>
      <c r="B12" s="1183"/>
      <c r="C12" s="1183"/>
      <c r="D12" s="1183"/>
      <c r="E12" s="2590"/>
      <c r="F12" s="2590"/>
      <c r="G12" s="2590"/>
      <c r="H12" s="2590"/>
      <c r="I12" s="2417"/>
      <c r="J12" s="2435"/>
      <c r="K12" s="1183"/>
      <c r="L12" s="1183"/>
      <c r="M12" s="1226"/>
      <c r="N12" s="445"/>
      <c r="O12" s="264"/>
      <c r="Q12" s="2567"/>
      <c r="R12" s="2567"/>
      <c r="S12" s="1247"/>
      <c r="T12" s="292"/>
      <c r="U12" s="1194"/>
      <c r="V12" s="224" t="s">
        <v>410</v>
      </c>
      <c r="W12" s="303"/>
      <c r="X12" s="303"/>
      <c r="Y12" s="303"/>
      <c r="Z12" s="303"/>
      <c r="AA12" s="303"/>
      <c r="AB12" s="303"/>
      <c r="AC12" s="1324"/>
      <c r="AD12" s="1324"/>
      <c r="AE12" s="1324"/>
      <c r="AF12" s="1324"/>
      <c r="AG12" s="303"/>
      <c r="AH12" s="303"/>
      <c r="AI12" s="303"/>
      <c r="AJ12" s="303"/>
      <c r="AK12" s="303"/>
      <c r="AL12" s="303"/>
      <c r="AM12" s="303"/>
      <c r="AN12" s="303"/>
      <c r="AO12" s="303"/>
      <c r="AP12" s="261"/>
      <c r="AQ12" s="2588"/>
      <c r="AS12" s="436"/>
      <c r="AT12" s="436" t="str">
        <f t="shared" ref="AT12:AT17" si="1">IF(V12="","",V12)</f>
        <v>Добавить вид теплоносителя (параметры теплоносителя)</v>
      </c>
      <c r="AU12" s="436"/>
      <c r="AV12" s="436"/>
      <c r="AW12" s="1071">
        <v>0</v>
      </c>
    </row>
    <row r="13" spans="1:49" ht="11.25" hidden="1" customHeight="1">
      <c r="A13" s="1183"/>
      <c r="B13" s="1183"/>
      <c r="C13" s="1183"/>
      <c r="D13" s="1183"/>
      <c r="E13" s="2590"/>
      <c r="F13" s="2590"/>
      <c r="G13" s="2590"/>
      <c r="H13" s="2590"/>
      <c r="I13" s="2435"/>
      <c r="J13" s="1183"/>
      <c r="K13" s="1183"/>
      <c r="L13" s="1183"/>
      <c r="M13" s="1226"/>
      <c r="N13" s="445"/>
      <c r="Q13" s="2567"/>
      <c r="R13" s="1247"/>
      <c r="S13" s="1247"/>
      <c r="T13" s="292"/>
      <c r="U13" s="119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1">
        <v>0</v>
      </c>
    </row>
    <row r="14" spans="1:49" ht="14.25" hidden="1" customHeight="1">
      <c r="A14" s="1183"/>
      <c r="B14" s="1183"/>
      <c r="C14" s="1183"/>
      <c r="D14" s="1183"/>
      <c r="E14" s="2590"/>
      <c r="F14" s="2590"/>
      <c r="G14" s="2590"/>
      <c r="H14" s="2589"/>
      <c r="I14" s="1183"/>
      <c r="J14" s="1183"/>
      <c r="K14" s="1183"/>
      <c r="L14" s="1183"/>
      <c r="M14" s="1226"/>
      <c r="N14" s="624"/>
      <c r="O14" s="624"/>
      <c r="P14" s="445"/>
      <c r="Q14" s="296"/>
      <c r="R14" s="311"/>
      <c r="S14" s="291"/>
      <c r="T14" s="296"/>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5"/>
      <c r="AS14" s="436"/>
      <c r="AT14" s="436" t="str">
        <f t="shared" si="1"/>
        <v/>
      </c>
      <c r="AU14" s="436"/>
      <c r="AV14" s="436"/>
      <c r="AW14" s="1071">
        <v>0</v>
      </c>
    </row>
    <row r="15" spans="1:49" s="2344" customFormat="1" ht="14.25" hidden="1" customHeight="1">
      <c r="A15" s="1290"/>
      <c r="B15" s="1290"/>
      <c r="C15" s="1290"/>
      <c r="D15" s="1290"/>
      <c r="E15" s="2590"/>
      <c r="F15" s="2590"/>
      <c r="G15" s="2589"/>
      <c r="H15" s="1290"/>
      <c r="I15" s="1290"/>
      <c r="J15" s="1290"/>
      <c r="K15" s="1290"/>
      <c r="L15" s="1290"/>
      <c r="M15" s="1293"/>
      <c r="N15" s="1294"/>
      <c r="O15" s="1294"/>
      <c r="P15" s="287"/>
      <c r="Q15" s="1232"/>
      <c r="R15" s="1233"/>
      <c r="S15" s="1232"/>
      <c r="T15" s="1232"/>
      <c r="U15" s="1234"/>
      <c r="V15" s="1235" t="s">
        <v>413</v>
      </c>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S15" s="719"/>
      <c r="AT15" s="719" t="str">
        <f t="shared" si="1"/>
        <v>Добавить источник для дифференциации</v>
      </c>
      <c r="AU15" s="719"/>
      <c r="AV15" s="719"/>
      <c r="AW15" s="454">
        <v>0</v>
      </c>
    </row>
    <row r="16" spans="1:49" s="2344" customFormat="1" ht="14.25" hidden="1" customHeight="1">
      <c r="A16" s="1290"/>
      <c r="B16" s="1290"/>
      <c r="C16" s="1290"/>
      <c r="D16" s="1290"/>
      <c r="E16" s="2590"/>
      <c r="F16" s="2589"/>
      <c r="G16" s="1290"/>
      <c r="H16" s="1290"/>
      <c r="I16" s="1290"/>
      <c r="J16" s="1290"/>
      <c r="K16" s="1290"/>
      <c r="L16" s="1290"/>
      <c r="M16" s="1293"/>
      <c r="N16" s="1295"/>
      <c r="O16" s="1295"/>
      <c r="P16" s="287"/>
      <c r="Q16" s="1232"/>
      <c r="R16" s="1233"/>
      <c r="S16" s="1232"/>
      <c r="T16" s="1232"/>
      <c r="U16" s="1238"/>
      <c r="V16" s="1239" t="s">
        <v>414</v>
      </c>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S16" s="719"/>
      <c r="AT16" s="719" t="str">
        <f t="shared" si="1"/>
        <v>Добавить централизованную систему для дифференциации</v>
      </c>
      <c r="AU16" s="719"/>
      <c r="AV16" s="719"/>
      <c r="AW16" s="454">
        <v>0</v>
      </c>
    </row>
    <row r="17" spans="1:49" s="2344" customFormat="1" ht="14.25" hidden="1" customHeight="1">
      <c r="A17" s="1290"/>
      <c r="B17" s="1290"/>
      <c r="C17" s="1290"/>
      <c r="D17" s="1290"/>
      <c r="E17" s="2589"/>
      <c r="F17" s="1290"/>
      <c r="G17" s="1290"/>
      <c r="H17" s="1290"/>
      <c r="I17" s="1290"/>
      <c r="J17" s="1290"/>
      <c r="K17" s="1290"/>
      <c r="L17" s="1290"/>
      <c r="M17" s="1293"/>
      <c r="N17" s="1295"/>
      <c r="O17" s="1295"/>
      <c r="P17" s="287"/>
      <c r="Q17" s="1232"/>
      <c r="R17" s="1233"/>
      <c r="S17" s="1232"/>
      <c r="T17" s="1232"/>
      <c r="U17" s="1238"/>
      <c r="V17" s="1241" t="s">
        <v>415</v>
      </c>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S17" s="719"/>
      <c r="AT17" s="719" t="str">
        <f t="shared" si="1"/>
        <v>Добавить территорию для дифференциации</v>
      </c>
      <c r="AU17" s="719"/>
      <c r="AV17" s="719"/>
      <c r="AW17" s="454">
        <v>0</v>
      </c>
    </row>
    <row r="18" spans="1:49" ht="14.25" hidden="1" customHeight="1">
      <c r="AF18" s="264"/>
      <c r="AO18" s="264"/>
      <c r="AW18" s="1071">
        <v>0</v>
      </c>
    </row>
    <row r="19" spans="1:49" ht="14.25" hidden="1" customHeight="1">
      <c r="AG19" s="1276"/>
      <c r="AH19" s="1276"/>
      <c r="AI19" s="1276"/>
      <c r="AJ19" s="1276"/>
      <c r="AK19" s="1277"/>
      <c r="AL19" s="2561"/>
      <c r="AM19" s="2560" t="s">
        <v>62</v>
      </c>
      <c r="AN19" s="2561"/>
      <c r="AO19" s="2560" t="s">
        <v>62</v>
      </c>
      <c r="AW19" s="1071">
        <v>0</v>
      </c>
    </row>
    <row r="20" spans="1:49" ht="14.25" hidden="1" customHeight="1">
      <c r="AG20" s="1276"/>
      <c r="AH20" s="1276"/>
      <c r="AI20" s="1276"/>
      <c r="AJ20" s="1276"/>
      <c r="AK20" s="1277"/>
      <c r="AL20" s="2561"/>
      <c r="AM20" s="2560"/>
      <c r="AN20" s="2561"/>
      <c r="AO20" s="2560"/>
      <c r="AW20" s="1071">
        <v>0</v>
      </c>
    </row>
    <row r="21" spans="1:49" ht="14.25" hidden="1" customHeight="1">
      <c r="AG21" s="1276"/>
      <c r="AH21" s="1276"/>
      <c r="AI21" s="1276"/>
      <c r="AJ21" s="1276"/>
      <c r="AK21" s="1277"/>
      <c r="AL21" s="2561"/>
      <c r="AM21" s="2560"/>
      <c r="AN21" s="2561"/>
      <c r="AO21" s="2560"/>
      <c r="AW21" s="1071">
        <v>0</v>
      </c>
    </row>
    <row r="22" spans="1:49" ht="14.25" hidden="1" customHeight="1">
      <c r="AG22" s="1276"/>
      <c r="AH22" s="1276"/>
      <c r="AI22" s="1276"/>
      <c r="AJ22" s="1276"/>
      <c r="AK22" s="265" t="str">
        <f>AL19&amp;"-"&amp;AN19</f>
        <v>-</v>
      </c>
      <c r="AL22" s="2560"/>
      <c r="AM22" s="2560"/>
      <c r="AN22" s="2560"/>
      <c r="AO22" s="2560"/>
      <c r="AW22" s="1071">
        <v>0</v>
      </c>
    </row>
    <row r="23" spans="1:49" ht="14.25" hidden="1" customHeight="1">
      <c r="AO23" s="264"/>
      <c r="AW23" s="1071">
        <v>0</v>
      </c>
    </row>
    <row r="24" spans="1:49" s="2357" customFormat="1" ht="22.5" hidden="1" customHeight="1">
      <c r="A24" s="1071"/>
      <c r="B24" s="1071"/>
      <c r="C24" s="1071"/>
      <c r="D24" s="1071"/>
      <c r="E24" s="1071"/>
      <c r="F24" s="1071"/>
      <c r="G24" s="1071"/>
      <c r="H24" s="1071"/>
      <c r="I24" s="1071"/>
      <c r="J24" s="1071"/>
      <c r="K24" s="1071"/>
      <c r="L24" s="1071"/>
      <c r="M24" s="1243"/>
      <c r="N24" s="1244"/>
      <c r="O24" s="1244"/>
      <c r="P24" s="1261" t="s">
        <v>416</v>
      </c>
      <c r="Q24" s="1278"/>
      <c r="R24" s="1287"/>
      <c r="S24" s="1287"/>
      <c r="T24" s="1287"/>
      <c r="U24" s="665"/>
      <c r="AC24" s="1283"/>
      <c r="AE24" s="1283"/>
      <c r="AF24" s="1282"/>
      <c r="AL24" s="1283"/>
      <c r="AN24" s="1283"/>
      <c r="AO24" s="1282"/>
      <c r="AR24" s="447"/>
      <c r="AS24" s="447"/>
      <c r="AT24" s="447"/>
      <c r="AU24" s="447"/>
      <c r="AV24" s="447"/>
      <c r="AW24" s="1076">
        <v>0</v>
      </c>
    </row>
    <row r="25" spans="1:49" s="2357" customFormat="1" ht="14.25" hidden="1" customHeight="1">
      <c r="A25" s="1071"/>
      <c r="B25" s="1071"/>
      <c r="C25" s="1071"/>
      <c r="D25" s="1071"/>
      <c r="E25" s="1071"/>
      <c r="F25" s="1071"/>
      <c r="G25" s="1071"/>
      <c r="H25" s="1071"/>
      <c r="I25" s="1071"/>
      <c r="J25" s="1071"/>
      <c r="K25" s="1071"/>
      <c r="L25" s="1071"/>
      <c r="M25" s="1243"/>
      <c r="N25" s="1244"/>
      <c r="O25" s="1244"/>
      <c r="P25" s="1244"/>
      <c r="Q25" s="1278"/>
      <c r="R25" s="1287"/>
      <c r="S25" s="1287"/>
      <c r="T25" s="1287"/>
      <c r="U25" s="665"/>
      <c r="AF25" s="1282"/>
      <c r="AO25" s="1282"/>
      <c r="AR25" s="447"/>
      <c r="AS25" s="447"/>
      <c r="AT25" s="447"/>
      <c r="AU25" s="447"/>
      <c r="AV25" s="447"/>
      <c r="AW25" s="1076">
        <v>0</v>
      </c>
    </row>
    <row r="26" spans="1:49" s="2357" customFormat="1" ht="14.25" hidden="1" customHeight="1">
      <c r="A26" s="1071"/>
      <c r="B26" s="1071"/>
      <c r="C26" s="1071"/>
      <c r="D26" s="1071"/>
      <c r="E26" s="1071"/>
      <c r="F26" s="1071"/>
      <c r="G26" s="1071"/>
      <c r="H26" s="1071"/>
      <c r="I26" s="1071"/>
      <c r="J26" s="1071"/>
      <c r="K26" s="1071"/>
      <c r="L26" s="1071"/>
      <c r="M26" s="1243"/>
      <c r="N26" s="1244"/>
      <c r="O26" s="1244"/>
      <c r="P26" s="1226" t="s">
        <v>417</v>
      </c>
      <c r="Q26" s="1278"/>
      <c r="R26" s="1287"/>
      <c r="S26" s="1287"/>
      <c r="T26" s="1287"/>
      <c r="U26" s="665"/>
      <c r="V26" s="1076" t="s">
        <v>418</v>
      </c>
      <c r="AD26" s="123" t="s">
        <v>419</v>
      </c>
      <c r="AF26" s="123" t="s">
        <v>420</v>
      </c>
      <c r="AG26" s="1076" t="s">
        <v>418</v>
      </c>
      <c r="AM26" s="123" t="s">
        <v>421</v>
      </c>
      <c r="AO26" s="123" t="s">
        <v>420</v>
      </c>
      <c r="AR26" s="447"/>
      <c r="AS26" s="447"/>
      <c r="AT26" s="447"/>
      <c r="AU26" s="447"/>
      <c r="AV26" s="447"/>
      <c r="AW26" s="1076">
        <v>0</v>
      </c>
    </row>
    <row r="27" spans="1:49" ht="14.25" hidden="1" customHeight="1">
      <c r="P27" s="1226"/>
      <c r="AW27" s="1071">
        <v>0</v>
      </c>
    </row>
    <row r="28" spans="1:49" ht="14.25" hidden="1" customHeight="1">
      <c r="P28" s="1226"/>
      <c r="AW28" s="1071">
        <v>0</v>
      </c>
    </row>
    <row r="29" spans="1:49" ht="14.65" customHeight="1">
      <c r="R29" s="312"/>
      <c r="S29" s="312"/>
      <c r="T29" s="312"/>
      <c r="U29" s="1191"/>
      <c r="V29" s="299"/>
      <c r="W29" s="299"/>
      <c r="X29" s="445"/>
      <c r="Y29" s="445"/>
      <c r="Z29" s="445"/>
      <c r="AA29" s="445"/>
      <c r="AB29" s="445"/>
      <c r="AC29" s="445"/>
      <c r="AD29" s="445"/>
      <c r="AE29" s="445"/>
      <c r="AF29" s="445"/>
      <c r="AG29" s="445"/>
      <c r="AH29" s="445"/>
      <c r="AI29" s="445"/>
      <c r="AJ29" s="445"/>
      <c r="AK29" s="445"/>
      <c r="AL29" s="445"/>
      <c r="AM29" s="445"/>
      <c r="AN29" s="445"/>
      <c r="AO29" s="445"/>
      <c r="AW29" s="1071">
        <v>14</v>
      </c>
    </row>
    <row r="30" spans="1:49" ht="56.65" customHeight="1">
      <c r="R30" s="312"/>
      <c r="S30" s="312"/>
      <c r="T30" s="312"/>
      <c r="U30" s="254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44"/>
      <c r="W30" s="2544"/>
      <c r="X30" s="2544"/>
      <c r="Y30" s="2544"/>
      <c r="Z30" s="2544"/>
      <c r="AA30" s="2544"/>
      <c r="AB30" s="2544"/>
      <c r="AC30" s="2544"/>
      <c r="AD30" s="2544"/>
      <c r="AE30" s="2544"/>
      <c r="AF30" s="2544"/>
      <c r="AG30" s="2544"/>
      <c r="AH30" s="2544"/>
      <c r="AI30" s="2544"/>
      <c r="AJ30" s="2544"/>
      <c r="AK30" s="2544"/>
      <c r="AL30" s="2544"/>
      <c r="AM30" s="2544"/>
      <c r="AN30" s="2544"/>
      <c r="AO30" s="1159"/>
      <c r="AW30" s="1071">
        <v>54</v>
      </c>
    </row>
    <row r="31" spans="1:49" ht="14.65" customHeight="1">
      <c r="R31" s="312"/>
      <c r="S31" s="312"/>
      <c r="T31" s="312"/>
      <c r="U31" s="2516" t="str">
        <f>IF(org=0,"Не определено",org)</f>
        <v>ООО "Пятигорсктеплосервис"</v>
      </c>
      <c r="V31" s="2516"/>
      <c r="W31" s="2516"/>
      <c r="X31" s="2516"/>
      <c r="Y31" s="2516"/>
      <c r="Z31" s="2516"/>
      <c r="AA31" s="2516"/>
      <c r="AB31" s="2516"/>
      <c r="AC31" s="2516"/>
      <c r="AD31" s="2516"/>
      <c r="AE31" s="2516"/>
      <c r="AF31" s="2516"/>
      <c r="AG31" s="2516"/>
      <c r="AH31" s="2516"/>
      <c r="AI31" s="2516"/>
      <c r="AJ31" s="2516"/>
      <c r="AK31" s="2516"/>
      <c r="AL31" s="2516"/>
      <c r="AM31" s="2516"/>
      <c r="AN31" s="2516"/>
      <c r="AO31" s="1159"/>
      <c r="AW31" s="1071">
        <v>14</v>
      </c>
    </row>
    <row r="32" spans="1:49" ht="14.25" hidden="1" customHeight="1">
      <c r="R32" s="312"/>
      <c r="S32" s="312"/>
      <c r="T32" s="312"/>
      <c r="U32" s="119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1">
        <v>0</v>
      </c>
    </row>
    <row r="33" spans="1:49" s="2380" customFormat="1" ht="25.5" hidden="1" customHeight="1">
      <c r="A33" s="1164"/>
      <c r="B33" s="1164"/>
      <c r="C33" s="1164"/>
      <c r="D33" s="1164"/>
      <c r="E33" s="1164"/>
      <c r="F33" s="1164"/>
      <c r="G33" s="1164"/>
      <c r="H33" s="1164"/>
      <c r="I33" s="1164"/>
      <c r="J33" s="1164"/>
      <c r="K33" s="1164"/>
      <c r="L33" s="1164"/>
      <c r="M33" s="1296"/>
      <c r="N33" s="1164"/>
      <c r="O33" s="1164"/>
      <c r="P33" s="1164"/>
      <c r="U33" s="2554" t="s">
        <v>41</v>
      </c>
      <c r="V33" s="2554"/>
      <c r="W33" s="1288"/>
      <c r="X33" s="2556" t="str">
        <f>IF(TITLE_NAME_OR_PR_CHANGE="",IF(TITLE_NAME_OR_PR="","",TITLE_NAME_OR_PR),TITLE_NAME_OR_PR_CHANGE)</f>
        <v/>
      </c>
      <c r="Y33" s="2556"/>
      <c r="Z33" s="2556"/>
      <c r="AA33" s="2556"/>
      <c r="AB33" s="2556"/>
      <c r="AC33" s="2556"/>
      <c r="AD33" s="2556"/>
      <c r="AE33" s="2556"/>
      <c r="AF33" s="263"/>
      <c r="AG33" s="2556" t="str">
        <f>IF(TITLE_NAME_OR_PR_CHANGE="",IF(TITLE_NAME_OR_PR="","",TITLE_NAME_OR_PR),TITLE_NAME_OR_PR_CHANGE)</f>
        <v/>
      </c>
      <c r="AH33" s="2556"/>
      <c r="AI33" s="2556"/>
      <c r="AJ33" s="2556"/>
      <c r="AK33" s="2556"/>
      <c r="AL33" s="2556"/>
      <c r="AM33" s="2556"/>
      <c r="AN33" s="2556"/>
      <c r="AO33" s="263"/>
      <c r="AP33" s="263"/>
      <c r="AQ33" s="217"/>
      <c r="AR33" s="304"/>
      <c r="AS33" s="304"/>
      <c r="AT33" s="304"/>
      <c r="AU33" s="304"/>
      <c r="AV33" s="304"/>
      <c r="AW33" s="354">
        <v>0</v>
      </c>
    </row>
    <row r="34" spans="1:49" s="2380" customFormat="1" ht="18.75" hidden="1" customHeight="1">
      <c r="A34" s="1164"/>
      <c r="B34" s="1164"/>
      <c r="C34" s="1164"/>
      <c r="D34" s="1164"/>
      <c r="E34" s="1164"/>
      <c r="F34" s="1164"/>
      <c r="G34" s="1164"/>
      <c r="H34" s="1164"/>
      <c r="I34" s="1164"/>
      <c r="J34" s="1164"/>
      <c r="K34" s="1164"/>
      <c r="L34" s="1164"/>
      <c r="M34" s="1296"/>
      <c r="N34" s="1164"/>
      <c r="O34" s="1164"/>
      <c r="P34" s="1164"/>
      <c r="U34" s="2554" t="s">
        <v>422</v>
      </c>
      <c r="V34" s="2554"/>
      <c r="W34" s="1288"/>
      <c r="X34" s="2555" t="str">
        <f>IF(TITLE_DATE_PR_CHANGE="",IF(TITLE_DATE_PR="","",TITLE_DATE_PR),TITLE_DATE_PR_CHANGE)</f>
        <v/>
      </c>
      <c r="Y34" s="2555"/>
      <c r="Z34" s="2555"/>
      <c r="AA34" s="2555"/>
      <c r="AB34" s="2555"/>
      <c r="AC34" s="2555"/>
      <c r="AD34" s="2555"/>
      <c r="AE34" s="2555"/>
      <c r="AF34" s="263"/>
      <c r="AG34" s="2555" t="str">
        <f>IF(TITLE_DATE_PR_CHANGE="",IF(TITLE_DATE_PR="","",TITLE_DATE_PR),TITLE_DATE_PR_CHANGE)</f>
        <v/>
      </c>
      <c r="AH34" s="2555"/>
      <c r="AI34" s="2555"/>
      <c r="AJ34" s="2555"/>
      <c r="AK34" s="2555"/>
      <c r="AL34" s="2555"/>
      <c r="AM34" s="2555"/>
      <c r="AN34" s="2555"/>
      <c r="AO34" s="263"/>
      <c r="AP34" s="263"/>
      <c r="AQ34" s="217"/>
      <c r="AR34" s="304"/>
      <c r="AS34" s="304"/>
      <c r="AT34" s="304"/>
      <c r="AU34" s="304"/>
      <c r="AV34" s="304"/>
      <c r="AW34" s="354">
        <v>0</v>
      </c>
    </row>
    <row r="35" spans="1:49" s="2380" customFormat="1" ht="18.75" hidden="1" customHeight="1">
      <c r="A35" s="1164"/>
      <c r="B35" s="1164"/>
      <c r="C35" s="1164"/>
      <c r="D35" s="1164"/>
      <c r="E35" s="1164"/>
      <c r="F35" s="1164"/>
      <c r="G35" s="1164"/>
      <c r="H35" s="1164"/>
      <c r="I35" s="1164"/>
      <c r="J35" s="1164"/>
      <c r="K35" s="1164"/>
      <c r="L35" s="1164"/>
      <c r="M35" s="1296"/>
      <c r="N35" s="1164"/>
      <c r="O35" s="1164"/>
      <c r="P35" s="1164"/>
      <c r="U35" s="2554" t="s">
        <v>423</v>
      </c>
      <c r="V35" s="2554"/>
      <c r="W35" s="1288"/>
      <c r="X35" s="2556" t="str">
        <f>IF(TITLE_NUMBER_PR_CHANGE="",IF(TITLE_NUMBER_PR="","",TITLE_NUMBER_PR),TITLE_NUMBER_PR_CHANGE)</f>
        <v/>
      </c>
      <c r="Y35" s="2556"/>
      <c r="Z35" s="2556"/>
      <c r="AA35" s="2556"/>
      <c r="AB35" s="2556"/>
      <c r="AC35" s="2556"/>
      <c r="AD35" s="2556"/>
      <c r="AE35" s="2556"/>
      <c r="AF35" s="263"/>
      <c r="AG35" s="2556" t="str">
        <f>IF(TITLE_NUMBER_PR_CHANGE="",IF(TITLE_NUMBER_PR="","",TITLE_NUMBER_PR),TITLE_NUMBER_PR_CHANGE)</f>
        <v/>
      </c>
      <c r="AH35" s="2556"/>
      <c r="AI35" s="2556"/>
      <c r="AJ35" s="2556"/>
      <c r="AK35" s="2556"/>
      <c r="AL35" s="2556"/>
      <c r="AM35" s="2556"/>
      <c r="AN35" s="2556"/>
      <c r="AO35" s="263"/>
      <c r="AP35" s="263"/>
      <c r="AQ35" s="217"/>
      <c r="AR35" s="304"/>
      <c r="AS35" s="304"/>
      <c r="AT35" s="304"/>
      <c r="AU35" s="304"/>
      <c r="AV35" s="304"/>
      <c r="AW35" s="354">
        <v>0</v>
      </c>
    </row>
    <row r="36" spans="1:49" s="2380" customFormat="1" ht="18.75" hidden="1" customHeight="1">
      <c r="A36" s="1164"/>
      <c r="B36" s="1164"/>
      <c r="C36" s="1164"/>
      <c r="D36" s="1164"/>
      <c r="E36" s="1164"/>
      <c r="F36" s="1164"/>
      <c r="G36" s="1164"/>
      <c r="H36" s="1164"/>
      <c r="I36" s="1164"/>
      <c r="J36" s="1164"/>
      <c r="K36" s="1164"/>
      <c r="L36" s="1164"/>
      <c r="M36" s="1296"/>
      <c r="N36" s="1164"/>
      <c r="O36" s="1164"/>
      <c r="P36" s="1164"/>
      <c r="U36" s="2554" t="s">
        <v>42</v>
      </c>
      <c r="V36" s="2554"/>
      <c r="W36" s="1288"/>
      <c r="X36" s="2556" t="str">
        <f>IF(TITLE_IST_PUB_CHANGE="",IF(TITLE_IST_PUB="","",TITLE_IST_PUB),TITLE_IST_PUB_CHANGE)</f>
        <v/>
      </c>
      <c r="Y36" s="2556"/>
      <c r="Z36" s="2556"/>
      <c r="AA36" s="2556"/>
      <c r="AB36" s="2556"/>
      <c r="AC36" s="2556"/>
      <c r="AD36" s="2556"/>
      <c r="AE36" s="2556"/>
      <c r="AF36" s="263"/>
      <c r="AG36" s="2556" t="str">
        <f>IF(TITLE_IST_PUB_CHANGE="",IF(TITLE_IST_PUB="","",TITLE_IST_PUB),TITLE_IST_PUB_CHANGE)</f>
        <v/>
      </c>
      <c r="AH36" s="2556"/>
      <c r="AI36" s="2556"/>
      <c r="AJ36" s="2556"/>
      <c r="AK36" s="2556"/>
      <c r="AL36" s="2556"/>
      <c r="AM36" s="2556"/>
      <c r="AN36" s="2556"/>
      <c r="AO36" s="263"/>
      <c r="AP36" s="263"/>
      <c r="AQ36" s="217"/>
      <c r="AR36" s="304"/>
      <c r="AS36" s="304"/>
      <c r="AT36" s="304"/>
      <c r="AU36" s="304"/>
      <c r="AV36" s="304"/>
      <c r="AW36" s="354">
        <v>0</v>
      </c>
    </row>
    <row r="37" spans="1:49" ht="14.25" hidden="1" customHeight="1">
      <c r="R37" s="312"/>
      <c r="S37" s="312"/>
      <c r="T37" s="312"/>
      <c r="U37" s="119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1">
        <v>0</v>
      </c>
    </row>
    <row r="38" spans="1:49" s="2380" customFormat="1" ht="18.75" hidden="1" customHeight="1">
      <c r="A38" s="1164"/>
      <c r="B38" s="1164"/>
      <c r="C38" s="1164"/>
      <c r="D38" s="1164"/>
      <c r="E38" s="1164"/>
      <c r="F38" s="1164"/>
      <c r="G38" s="1164"/>
      <c r="H38" s="1164"/>
      <c r="I38" s="1164"/>
      <c r="J38" s="1164"/>
      <c r="K38" s="1164"/>
      <c r="L38" s="1164"/>
      <c r="M38" s="1296"/>
      <c r="N38" s="1164"/>
      <c r="O38" s="1164"/>
      <c r="P38" s="1164"/>
      <c r="U38" s="2554" t="s">
        <v>424</v>
      </c>
      <c r="V38" s="2554"/>
      <c r="W38" s="1288"/>
      <c r="X38" s="2555" t="str">
        <f>IF(TITLE_DATE_PR_CHANGE="",IF(TITLE_DATE_PR="","",TITLE_DATE_PR),TITLE_DATE_PR_CHANGE)</f>
        <v/>
      </c>
      <c r="Y38" s="2555"/>
      <c r="Z38" s="2555"/>
      <c r="AA38" s="2555"/>
      <c r="AB38" s="2555"/>
      <c r="AC38" s="2555"/>
      <c r="AD38" s="2555"/>
      <c r="AE38" s="2555"/>
      <c r="AF38" s="263"/>
      <c r="AG38" s="2555" t="str">
        <f>IF(TITLE_DATE_PR_CHANGE="",IF(TITLE_DATE_PR="","",TITLE_DATE_PR),TITLE_DATE_PR_CHANGE)</f>
        <v/>
      </c>
      <c r="AH38" s="2555"/>
      <c r="AI38" s="2555"/>
      <c r="AJ38" s="2555"/>
      <c r="AK38" s="2555"/>
      <c r="AL38" s="2555"/>
      <c r="AM38" s="2555"/>
      <c r="AN38" s="2555"/>
      <c r="AO38" s="263"/>
      <c r="AP38" s="263"/>
      <c r="AQ38" s="217"/>
      <c r="AR38" s="304"/>
      <c r="AS38" s="304"/>
      <c r="AT38" s="304"/>
      <c r="AU38" s="304"/>
      <c r="AV38" s="304"/>
      <c r="AW38" s="354">
        <v>0</v>
      </c>
    </row>
    <row r="39" spans="1:49" s="2380" customFormat="1" ht="18.75" hidden="1" customHeight="1">
      <c r="A39" s="1164"/>
      <c r="B39" s="1164"/>
      <c r="C39" s="1164"/>
      <c r="D39" s="1164"/>
      <c r="E39" s="1164"/>
      <c r="F39" s="1164"/>
      <c r="G39" s="1164"/>
      <c r="H39" s="1164"/>
      <c r="I39" s="1164"/>
      <c r="J39" s="1164"/>
      <c r="K39" s="1164"/>
      <c r="L39" s="1164"/>
      <c r="M39" s="1296"/>
      <c r="N39" s="1164"/>
      <c r="O39" s="1164"/>
      <c r="P39" s="1164"/>
      <c r="U39" s="2554" t="s">
        <v>425</v>
      </c>
      <c r="V39" s="2554"/>
      <c r="W39" s="1288"/>
      <c r="X39" s="2556" t="str">
        <f>IF(TITLE_NUMBER_PR_CHANGE="",IF(TITLE_NUMBER_PR="","",TITLE_NUMBER_PR),TITLE_NUMBER_PR_CHANGE)</f>
        <v/>
      </c>
      <c r="Y39" s="2556"/>
      <c r="Z39" s="2556"/>
      <c r="AA39" s="2556"/>
      <c r="AB39" s="2556"/>
      <c r="AC39" s="2556"/>
      <c r="AD39" s="2556"/>
      <c r="AE39" s="2556"/>
      <c r="AF39" s="263"/>
      <c r="AG39" s="2556" t="str">
        <f>IF(TITLE_NUMBER_PR_CHANGE="",IF(TITLE_NUMBER_PR="","",TITLE_NUMBER_PR),TITLE_NUMBER_PR_CHANGE)</f>
        <v/>
      </c>
      <c r="AH39" s="2556"/>
      <c r="AI39" s="2556"/>
      <c r="AJ39" s="2556"/>
      <c r="AK39" s="2556"/>
      <c r="AL39" s="2556"/>
      <c r="AM39" s="2556"/>
      <c r="AN39" s="2556"/>
      <c r="AO39" s="263"/>
      <c r="AP39" s="263"/>
      <c r="AQ39" s="217"/>
      <c r="AR39" s="304"/>
      <c r="AS39" s="304"/>
      <c r="AT39" s="304"/>
      <c r="AU39" s="304"/>
      <c r="AV39" s="304"/>
      <c r="AW39" s="354">
        <v>0</v>
      </c>
    </row>
    <row r="40" spans="1:49" s="2380" customFormat="1" ht="0" hidden="1" customHeight="1">
      <c r="A40" s="1164"/>
      <c r="B40" s="1164"/>
      <c r="C40" s="1164"/>
      <c r="D40" s="1164"/>
      <c r="E40" s="1164"/>
      <c r="F40" s="1164"/>
      <c r="G40" s="1164"/>
      <c r="H40" s="1164"/>
      <c r="I40" s="1164"/>
      <c r="J40" s="1164"/>
      <c r="K40" s="1164"/>
      <c r="L40" s="1164"/>
      <c r="M40" s="1296"/>
      <c r="N40" s="1164"/>
      <c r="O40" s="1164"/>
      <c r="P40" s="1164"/>
      <c r="U40" s="260"/>
      <c r="V40" s="260"/>
      <c r="W40" s="125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191"/>
      <c r="V41" s="299"/>
      <c r="W41" s="1160"/>
      <c r="X41" s="2575"/>
      <c r="Y41" s="2575"/>
      <c r="Z41" s="2575"/>
      <c r="AA41" s="2575"/>
      <c r="AB41" s="2575"/>
      <c r="AC41" s="2575"/>
      <c r="AD41" s="2575"/>
      <c r="AE41" s="2575"/>
      <c r="AF41" s="2575"/>
      <c r="AG41" s="2575"/>
      <c r="AH41" s="2575"/>
      <c r="AI41" s="2575"/>
      <c r="AJ41" s="2575"/>
      <c r="AK41" s="2575"/>
      <c r="AL41" s="2575"/>
      <c r="AM41" s="2575"/>
      <c r="AN41" s="2575"/>
      <c r="AO41" s="2575"/>
      <c r="AW41" s="1071">
        <v>14</v>
      </c>
    </row>
    <row r="42" spans="1:49" ht="14.65" customHeight="1">
      <c r="R42" s="312"/>
      <c r="S42" s="312"/>
      <c r="T42" s="312"/>
      <c r="U42" s="2435" t="s">
        <v>299</v>
      </c>
      <c r="V42" s="2435"/>
      <c r="W42" s="2435"/>
      <c r="X42" s="2435"/>
      <c r="Y42" s="2435"/>
      <c r="Z42" s="2435"/>
      <c r="AA42" s="2435"/>
      <c r="AB42" s="2435"/>
      <c r="AC42" s="2435"/>
      <c r="AD42" s="2435"/>
      <c r="AE42" s="2435"/>
      <c r="AF42" s="2435"/>
      <c r="AG42" s="2435"/>
      <c r="AH42" s="2435"/>
      <c r="AI42" s="2435"/>
      <c r="AJ42" s="2435"/>
      <c r="AK42" s="2435"/>
      <c r="AL42" s="2435"/>
      <c r="AM42" s="2435"/>
      <c r="AN42" s="2435"/>
      <c r="AO42" s="2435"/>
      <c r="AP42" s="2435"/>
      <c r="AQ42" s="2435" t="s">
        <v>300</v>
      </c>
      <c r="AW42" s="1071">
        <v>14</v>
      </c>
    </row>
    <row r="43" spans="1:49" ht="14.65" customHeight="1">
      <c r="R43" s="312"/>
      <c r="S43" s="312"/>
      <c r="T43" s="312"/>
      <c r="U43" s="2576" t="s">
        <v>88</v>
      </c>
      <c r="V43" s="2524" t="s">
        <v>427</v>
      </c>
      <c r="W43" s="238"/>
      <c r="X43" s="2577" t="s">
        <v>428</v>
      </c>
      <c r="Y43" s="2593"/>
      <c r="Z43" s="2593"/>
      <c r="AA43" s="2593"/>
      <c r="AB43" s="2593"/>
      <c r="AC43" s="2578"/>
      <c r="AD43" s="2578"/>
      <c r="AE43" s="2579"/>
      <c r="AF43" s="2580" t="s">
        <v>429</v>
      </c>
      <c r="AG43" s="2577" t="s">
        <v>428</v>
      </c>
      <c r="AH43" s="2593"/>
      <c r="AI43" s="2593"/>
      <c r="AJ43" s="2593"/>
      <c r="AK43" s="2593"/>
      <c r="AL43" s="2578"/>
      <c r="AM43" s="2578"/>
      <c r="AN43" s="2579"/>
      <c r="AO43" s="2580" t="s">
        <v>430</v>
      </c>
      <c r="AP43" s="2583" t="s">
        <v>431</v>
      </c>
      <c r="AQ43" s="2435"/>
      <c r="AW43" s="1071">
        <v>14</v>
      </c>
    </row>
    <row r="44" spans="1:49" ht="35.65" customHeight="1">
      <c r="R44" s="312"/>
      <c r="S44" s="312"/>
      <c r="T44" s="312"/>
      <c r="U44" s="2576"/>
      <c r="V44" s="2524"/>
      <c r="W44" s="953"/>
      <c r="X44" s="2495" t="s">
        <v>454</v>
      </c>
      <c r="Y44" s="2435" t="s">
        <v>455</v>
      </c>
      <c r="Z44" s="2435"/>
      <c r="AA44" s="2435"/>
      <c r="AB44" s="2435"/>
      <c r="AC44" s="2495" t="s">
        <v>435</v>
      </c>
      <c r="AD44" s="2605"/>
      <c r="AE44" s="2496"/>
      <c r="AF44" s="2581"/>
      <c r="AG44" s="2495" t="s">
        <v>454</v>
      </c>
      <c r="AH44" s="2435" t="s">
        <v>455</v>
      </c>
      <c r="AI44" s="2435"/>
      <c r="AJ44" s="2435"/>
      <c r="AK44" s="2435"/>
      <c r="AL44" s="2495" t="s">
        <v>435</v>
      </c>
      <c r="AM44" s="2605"/>
      <c r="AN44" s="2496"/>
      <c r="AO44" s="2581"/>
      <c r="AP44" s="2584"/>
      <c r="AQ44" s="2435"/>
      <c r="AW44" s="1071">
        <v>34</v>
      </c>
    </row>
    <row r="45" spans="1:49" ht="14.65" customHeight="1">
      <c r="R45" s="312"/>
      <c r="S45" s="312"/>
      <c r="T45" s="312"/>
      <c r="U45" s="2576"/>
      <c r="V45" s="2524"/>
      <c r="W45" s="953"/>
      <c r="X45" s="2497"/>
      <c r="Y45" s="2530" t="s">
        <v>456</v>
      </c>
      <c r="Z45" s="2529" t="s">
        <v>457</v>
      </c>
      <c r="AA45" s="2542"/>
      <c r="AB45" s="2543"/>
      <c r="AC45" s="2500"/>
      <c r="AD45" s="2606"/>
      <c r="AE45" s="2501"/>
      <c r="AF45" s="2581"/>
      <c r="AG45" s="2497"/>
      <c r="AH45" s="2530" t="s">
        <v>456</v>
      </c>
      <c r="AI45" s="2529" t="s">
        <v>457</v>
      </c>
      <c r="AJ45" s="2542"/>
      <c r="AK45" s="2543"/>
      <c r="AL45" s="2500"/>
      <c r="AM45" s="2606"/>
      <c r="AN45" s="2501"/>
      <c r="AO45" s="2581"/>
      <c r="AP45" s="2584"/>
      <c r="AQ45" s="2435"/>
      <c r="AW45" s="1071">
        <v>14</v>
      </c>
    </row>
    <row r="46" spans="1:49" ht="27.4" customHeight="1">
      <c r="R46" s="312"/>
      <c r="S46" s="312"/>
      <c r="T46" s="312"/>
      <c r="U46" s="2576"/>
      <c r="V46" s="2524"/>
      <c r="W46" s="953"/>
      <c r="X46" s="2497"/>
      <c r="Y46" s="2604"/>
      <c r="Z46" s="2530" t="s">
        <v>458</v>
      </c>
      <c r="AA46" s="2529" t="s">
        <v>459</v>
      </c>
      <c r="AB46" s="2543"/>
      <c r="AC46" s="2530" t="s">
        <v>445</v>
      </c>
      <c r="AD46" s="2534" t="s">
        <v>446</v>
      </c>
      <c r="AE46" s="2532"/>
      <c r="AF46" s="2581"/>
      <c r="AG46" s="2497"/>
      <c r="AH46" s="2604"/>
      <c r="AI46" s="2530" t="s">
        <v>458</v>
      </c>
      <c r="AJ46" s="2529" t="s">
        <v>459</v>
      </c>
      <c r="AK46" s="2543"/>
      <c r="AL46" s="2530" t="s">
        <v>445</v>
      </c>
      <c r="AM46" s="2534" t="s">
        <v>446</v>
      </c>
      <c r="AN46" s="2532"/>
      <c r="AO46" s="2581"/>
      <c r="AP46" s="2584"/>
      <c r="AQ46" s="2435"/>
      <c r="AW46" s="1071">
        <v>26</v>
      </c>
    </row>
    <row r="47" spans="1:49" ht="65.25" customHeight="1">
      <c r="A47" s="1175"/>
      <c r="B47" s="1175" t="s">
        <v>136</v>
      </c>
      <c r="C47" s="1175" t="s">
        <v>137</v>
      </c>
      <c r="D47" s="1175" t="s">
        <v>138</v>
      </c>
      <c r="E47" s="1226" t="s">
        <v>436</v>
      </c>
      <c r="F47" s="1226" t="s">
        <v>437</v>
      </c>
      <c r="G47" s="1226" t="s">
        <v>438</v>
      </c>
      <c r="H47" s="1226" t="s">
        <v>439</v>
      </c>
      <c r="I47" s="1226" t="s">
        <v>440</v>
      </c>
      <c r="J47" s="1226" t="s">
        <v>441</v>
      </c>
      <c r="K47" s="1226" t="s">
        <v>442</v>
      </c>
      <c r="L47" s="1226" t="s">
        <v>460</v>
      </c>
      <c r="M47" s="1226" t="s">
        <v>417</v>
      </c>
      <c r="R47" s="312"/>
      <c r="S47" s="312"/>
      <c r="T47" s="312"/>
      <c r="U47" s="2576"/>
      <c r="V47" s="2524"/>
      <c r="W47" s="239"/>
      <c r="X47" s="2500"/>
      <c r="Y47" s="2531"/>
      <c r="Z47" s="2531"/>
      <c r="AA47" s="1138" t="s">
        <v>461</v>
      </c>
      <c r="AB47" s="1138" t="s">
        <v>462</v>
      </c>
      <c r="AC47" s="2531"/>
      <c r="AD47" s="2535"/>
      <c r="AE47" s="2533"/>
      <c r="AF47" s="2582"/>
      <c r="AG47" s="2500"/>
      <c r="AH47" s="2531"/>
      <c r="AI47" s="2531"/>
      <c r="AJ47" s="1138" t="s">
        <v>461</v>
      </c>
      <c r="AK47" s="1138" t="s">
        <v>462</v>
      </c>
      <c r="AL47" s="2531"/>
      <c r="AM47" s="2535"/>
      <c r="AN47" s="2533"/>
      <c r="AO47" s="2582"/>
      <c r="AP47" s="2585"/>
      <c r="AQ47" s="2435"/>
      <c r="AW47" s="1071">
        <v>62</v>
      </c>
    </row>
    <row r="48" spans="1:49" s="2335" customFormat="1" ht="11.25" hidden="1" customHeight="1">
      <c r="A48" s="1175"/>
      <c r="B48" s="1175"/>
      <c r="C48" s="1175"/>
      <c r="D48" s="1175"/>
      <c r="E48" s="1175"/>
      <c r="F48" s="1175"/>
      <c r="G48" s="1175"/>
      <c r="H48" s="1175"/>
      <c r="I48" s="1175"/>
      <c r="J48" s="1175"/>
      <c r="K48" s="1175"/>
      <c r="L48" s="1175"/>
      <c r="M48" s="1226"/>
      <c r="N48" s="1244"/>
      <c r="O48" s="1244"/>
      <c r="P48" s="1244"/>
      <c r="Q48" s="1162"/>
      <c r="R48" s="1163"/>
      <c r="S48" s="1170">
        <v>1</v>
      </c>
      <c r="T48" s="1170"/>
      <c r="U48" s="1193" t="s">
        <v>109</v>
      </c>
      <c r="V48" s="1171" t="s">
        <v>110</v>
      </c>
      <c r="W48" s="1161" t="str">
        <f ca="1">OFFSET(W48,0,-1)</f>
        <v>2</v>
      </c>
      <c r="X48" s="1251">
        <f ca="1">OFFSET(X48,0,-1)+1</f>
        <v>3</v>
      </c>
      <c r="Y48" s="1257"/>
      <c r="Z48" s="1257"/>
      <c r="AA48" s="1257">
        <f ca="1">OFFSET(AA48,0,-1)+1</f>
        <v>1</v>
      </c>
      <c r="AB48" s="1257">
        <f ca="1">OFFSET(AB48,0,-1)+1</f>
        <v>2</v>
      </c>
      <c r="AC48" s="1251">
        <f ca="1">OFFSET(AC48,0,-1)+1</f>
        <v>3</v>
      </c>
      <c r="AD48" s="2574">
        <f ca="1">OFFSET(AD48,0,-1)+1</f>
        <v>4</v>
      </c>
      <c r="AE48" s="2574"/>
      <c r="AF48" s="1251">
        <f ca="1">OFFSET(AF48,0,-2)+1</f>
        <v>5</v>
      </c>
      <c r="AG48" s="1251">
        <f ca="1">OFFSET(AG48,0,-1)+1</f>
        <v>6</v>
      </c>
      <c r="AH48" s="1251"/>
      <c r="AI48" s="1251"/>
      <c r="AJ48" s="1251">
        <f ca="1">OFFSET(AJ48,0,-1)+1</f>
        <v>1</v>
      </c>
      <c r="AK48" s="1251">
        <f ca="1">OFFSET(AK48,0,-1)+1</f>
        <v>2</v>
      </c>
      <c r="AL48" s="1251">
        <f ca="1">OFFSET(AL48,0,-1)+1</f>
        <v>3</v>
      </c>
      <c r="AM48" s="2574">
        <f ca="1">OFFSET(AM48,0,-1)+1</f>
        <v>4</v>
      </c>
      <c r="AN48" s="2574"/>
      <c r="AO48" s="1251">
        <f ca="1">OFFSET(AO48,0,-2)+1</f>
        <v>5</v>
      </c>
      <c r="AP48" s="1161">
        <f ca="1">OFFSET(AP48,0,-1)</f>
        <v>5</v>
      </c>
      <c r="AQ48" s="1251">
        <f ca="1">OFFSET(AQ48,0,-1)+1</f>
        <v>6</v>
      </c>
      <c r="AR48" s="447"/>
      <c r="AS48" s="447"/>
      <c r="AT48" s="447"/>
      <c r="AU48" s="447"/>
      <c r="AV48" s="447"/>
      <c r="AW48" s="432">
        <v>0</v>
      </c>
    </row>
    <row r="49" spans="1:49" ht="21.95" customHeight="1">
      <c r="A49" s="1183" t="s">
        <v>175</v>
      </c>
      <c r="B49" s="1183"/>
      <c r="C49" s="1183"/>
      <c r="D49" s="1183"/>
      <c r="E49" s="2589">
        <v>1</v>
      </c>
      <c r="F49" s="1183"/>
      <c r="G49" s="1183"/>
      <c r="H49" s="1183"/>
      <c r="I49" s="1183"/>
      <c r="J49" s="1183"/>
      <c r="K49" s="1183"/>
      <c r="L49" s="1183"/>
      <c r="M49" s="1226"/>
      <c r="N49" s="624"/>
      <c r="O49" s="624"/>
      <c r="P49" s="624"/>
      <c r="Q49" s="297"/>
      <c r="R49" s="296"/>
      <c r="S49" s="296"/>
      <c r="T49" s="291"/>
      <c r="U49" s="1252">
        <f>INDEX(PT_DIFFERENTIATION_NUM_NTAR,MATCH(A49,PT_DIFFERENTIATION_NTAR_ID,0))</f>
        <v>0</v>
      </c>
      <c r="V49" s="235" t="s">
        <v>124</v>
      </c>
      <c r="W49" s="237"/>
      <c r="X49" s="2557"/>
      <c r="Y49" s="2558"/>
      <c r="Z49" s="2558"/>
      <c r="AA49" s="2558"/>
      <c r="AB49" s="2558"/>
      <c r="AC49" s="2558"/>
      <c r="AD49" s="2558"/>
      <c r="AE49" s="2558"/>
      <c r="AF49" s="2559"/>
      <c r="AG49" s="2557" t="str">
        <f>INDEX(PT_DIFFERENTIATION_NTAR,MATCH(A49,PT_DIFFERENTIATION_NTAR_ID,0))</f>
        <v/>
      </c>
      <c r="AH49" s="2558"/>
      <c r="AI49" s="2558"/>
      <c r="AJ49" s="2558"/>
      <c r="AK49" s="2558"/>
      <c r="AL49" s="2558"/>
      <c r="AM49" s="2558"/>
      <c r="AN49" s="2558"/>
      <c r="AO49" s="2558"/>
      <c r="AP49" s="2559"/>
      <c r="AQ49"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1">
        <v>21</v>
      </c>
    </row>
    <row r="50" spans="1:49" ht="21.95" customHeight="1">
      <c r="A50" s="1183" t="s">
        <v>175</v>
      </c>
      <c r="B50" s="1183" t="s">
        <v>176</v>
      </c>
      <c r="C50" s="1183"/>
      <c r="D50" s="1183"/>
      <c r="E50" s="2590"/>
      <c r="F50" s="2589">
        <v>1</v>
      </c>
      <c r="G50" s="1183"/>
      <c r="H50" s="1183"/>
      <c r="I50" s="1183"/>
      <c r="J50" s="1183"/>
      <c r="K50" s="1183"/>
      <c r="L50" s="1183"/>
      <c r="M50" s="1226"/>
      <c r="N50" s="624"/>
      <c r="O50" s="624"/>
      <c r="P50" s="624"/>
      <c r="Q50" s="1248"/>
      <c r="R50" s="288"/>
      <c r="S50" s="445"/>
      <c r="T50" s="289"/>
      <c r="U50" s="1252" t="str">
        <f>INDEX(PT_DIFFERENTIATION_NUM_TER,MATCH(B50,PT_DIFFERENTIATION_TER_ID,0))</f>
        <v>.</v>
      </c>
      <c r="V50" s="245" t="s">
        <v>396</v>
      </c>
      <c r="W50" s="237"/>
      <c r="X50" s="2557"/>
      <c r="Y50" s="2558"/>
      <c r="Z50" s="2558"/>
      <c r="AA50" s="2558"/>
      <c r="AB50" s="2558"/>
      <c r="AC50" s="2558"/>
      <c r="AD50" s="2558"/>
      <c r="AE50" s="2558"/>
      <c r="AF50" s="2559"/>
      <c r="AG50" s="2557" t="str">
        <f>INDEX(PT_DIFFERENTIATION_TER,MATCH(B50,PT_DIFFERENTIATION_TER_ID,0))</f>
        <v/>
      </c>
      <c r="AH50" s="2558"/>
      <c r="AI50" s="2558"/>
      <c r="AJ50" s="2558"/>
      <c r="AK50" s="2558"/>
      <c r="AL50" s="2558"/>
      <c r="AM50" s="2558"/>
      <c r="AN50" s="2558"/>
      <c r="AO50" s="2558"/>
      <c r="AP50" s="2559"/>
      <c r="AQ50" s="1174" t="s">
        <v>397</v>
      </c>
      <c r="AS50" s="436"/>
      <c r="AT50" s="436" t="str">
        <f t="shared" si="2"/>
        <v>Территория действия тарифа</v>
      </c>
      <c r="AU50" s="436"/>
      <c r="AV50" s="436"/>
      <c r="AW50" s="1071">
        <v>21</v>
      </c>
    </row>
    <row r="51" spans="1:49" ht="24" customHeight="1">
      <c r="A51" s="1183" t="s">
        <v>175</v>
      </c>
      <c r="B51" s="1183" t="s">
        <v>176</v>
      </c>
      <c r="C51" s="1183" t="s">
        <v>177</v>
      </c>
      <c r="D51" s="1183"/>
      <c r="E51" s="2590"/>
      <c r="F51" s="2590"/>
      <c r="G51" s="2589">
        <v>1</v>
      </c>
      <c r="H51" s="1183"/>
      <c r="I51" s="1183"/>
      <c r="J51" s="1183"/>
      <c r="K51" s="1183"/>
      <c r="L51" s="1183"/>
      <c r="M51" s="1226"/>
      <c r="N51" s="624"/>
      <c r="O51" s="624"/>
      <c r="P51" s="624"/>
      <c r="Q51" s="290"/>
      <c r="R51" s="288"/>
      <c r="S51" s="445"/>
      <c r="T51" s="289"/>
      <c r="U51" s="1252" t="str">
        <f>INDEX(PT_DIFFERENTIATION_NUM_CS,MATCH(C51,PT_DIFFERENTIATION_CS_ID,0))</f>
        <v>..</v>
      </c>
      <c r="V51" s="246" t="s">
        <v>398</v>
      </c>
      <c r="W51" s="237"/>
      <c r="X51" s="2557"/>
      <c r="Y51" s="2558"/>
      <c r="Z51" s="2558"/>
      <c r="AA51" s="2558"/>
      <c r="AB51" s="2558"/>
      <c r="AC51" s="2558"/>
      <c r="AD51" s="2558"/>
      <c r="AE51" s="2558"/>
      <c r="AF51" s="2559"/>
      <c r="AG51" s="2557" t="str">
        <f>INDEX(PT_DIFFERENTIATION_CS,MATCH(C51,PT_DIFFERENTIATION_CS_ID,0))</f>
        <v/>
      </c>
      <c r="AH51" s="2558"/>
      <c r="AI51" s="2558"/>
      <c r="AJ51" s="2558"/>
      <c r="AK51" s="2558"/>
      <c r="AL51" s="2558"/>
      <c r="AM51" s="2558"/>
      <c r="AN51" s="2558"/>
      <c r="AO51" s="2558"/>
      <c r="AP51" s="2559"/>
      <c r="AQ51" s="1174" t="s">
        <v>399</v>
      </c>
      <c r="AS51" s="436"/>
      <c r="AT51" s="436" t="str">
        <f t="shared" si="2"/>
        <v xml:space="preserve">Наименование системы теплоснабжения </v>
      </c>
      <c r="AU51" s="436"/>
      <c r="AV51" s="436"/>
      <c r="AW51" s="1071">
        <v>23</v>
      </c>
    </row>
    <row r="52" spans="1:49" ht="21.95" customHeight="1">
      <c r="A52" s="1183" t="s">
        <v>175</v>
      </c>
      <c r="B52" s="1183" t="s">
        <v>176</v>
      </c>
      <c r="C52" s="1183" t="s">
        <v>177</v>
      </c>
      <c r="D52" s="1183" t="s">
        <v>178</v>
      </c>
      <c r="E52" s="2590"/>
      <c r="F52" s="2590"/>
      <c r="G52" s="2590"/>
      <c r="H52" s="2589">
        <v>1</v>
      </c>
      <c r="I52" s="1183"/>
      <c r="J52" s="1183"/>
      <c r="K52" s="1183"/>
      <c r="L52" s="1183"/>
      <c r="M52" s="1226"/>
      <c r="N52" s="624"/>
      <c r="O52" s="624"/>
      <c r="P52" s="624"/>
      <c r="Q52" s="290"/>
      <c r="R52" s="288"/>
      <c r="S52" s="445"/>
      <c r="T52" s="289"/>
      <c r="U52" s="1252" t="str">
        <f>INDEX(PT_DIFFERENTIATION_NUM_IST_TE,MATCH(D52,PT_DIFFERENTIATION_IST_TE_ID,0))</f>
        <v>...</v>
      </c>
      <c r="V52" s="247" t="s">
        <v>400</v>
      </c>
      <c r="W52" s="237"/>
      <c r="X52" s="2557"/>
      <c r="Y52" s="2558"/>
      <c r="Z52" s="2558"/>
      <c r="AA52" s="2558"/>
      <c r="AB52" s="2558"/>
      <c r="AC52" s="2558"/>
      <c r="AD52" s="2558"/>
      <c r="AE52" s="2558"/>
      <c r="AF52" s="2559"/>
      <c r="AG52" s="2557" t="str">
        <f>INDEX(PT_DIFFERENTIATION_IST_TE,MATCH(D52,PT_DIFFERENTIATION_IST_TE_ID,0))</f>
        <v/>
      </c>
      <c r="AH52" s="2558"/>
      <c r="AI52" s="2558"/>
      <c r="AJ52" s="2558"/>
      <c r="AK52" s="2558"/>
      <c r="AL52" s="2558"/>
      <c r="AM52" s="2558"/>
      <c r="AN52" s="2558"/>
      <c r="AO52" s="2558"/>
      <c r="AP52" s="2559"/>
      <c r="AQ52" s="1174" t="s">
        <v>401</v>
      </c>
      <c r="AS52" s="436"/>
      <c r="AT52" s="436" t="str">
        <f t="shared" si="2"/>
        <v xml:space="preserve">Источник тепловой энергии  </v>
      </c>
      <c r="AU52" s="436"/>
      <c r="AV52" s="436"/>
      <c r="AW52" s="1071">
        <v>21</v>
      </c>
    </row>
    <row r="53" spans="1:49" s="2344" customFormat="1" ht="0" hidden="1" customHeight="1">
      <c r="A53" s="1291" t="s">
        <v>175</v>
      </c>
      <c r="B53" s="1291" t="s">
        <v>176</v>
      </c>
      <c r="C53" s="1291" t="s">
        <v>177</v>
      </c>
      <c r="D53" s="1291" t="s">
        <v>178</v>
      </c>
      <c r="E53" s="2590"/>
      <c r="F53" s="2590"/>
      <c r="G53" s="2590"/>
      <c r="H53" s="2590"/>
      <c r="I53" s="2435" t="str">
        <f>U52&amp;".1"</f>
        <v>....1</v>
      </c>
      <c r="J53" s="1291"/>
      <c r="K53" s="1291"/>
      <c r="L53" s="1291"/>
      <c r="M53" s="1297" t="s">
        <v>402</v>
      </c>
      <c r="N53" s="1162"/>
      <c r="O53" s="1162"/>
      <c r="P53" s="1162"/>
      <c r="Q53" s="2567">
        <v>1</v>
      </c>
      <c r="R53" s="1247"/>
      <c r="S53" s="1247"/>
      <c r="T53" s="292"/>
      <c r="U53" s="964"/>
      <c r="V53" s="1299"/>
      <c r="W53" s="1300"/>
      <c r="X53" s="2594"/>
      <c r="Y53" s="2595"/>
      <c r="Z53" s="2595"/>
      <c r="AA53" s="2595"/>
      <c r="AB53" s="2595"/>
      <c r="AC53" s="2595"/>
      <c r="AD53" s="2595"/>
      <c r="AE53" s="2595"/>
      <c r="AF53" s="2596"/>
      <c r="AG53" s="2594"/>
      <c r="AH53" s="2595"/>
      <c r="AI53" s="2595"/>
      <c r="AJ53" s="2595"/>
      <c r="AK53" s="2595"/>
      <c r="AL53" s="2595"/>
      <c r="AM53" s="2595"/>
      <c r="AN53" s="2595"/>
      <c r="AO53" s="2595"/>
      <c r="AP53" s="2596"/>
      <c r="AQ53" s="1301"/>
      <c r="AS53" s="436"/>
      <c r="AT53" s="436" t="str">
        <f t="shared" si="2"/>
        <v/>
      </c>
      <c r="AU53" s="436"/>
      <c r="AV53" s="436"/>
      <c r="AW53" s="447">
        <v>0</v>
      </c>
    </row>
    <row r="54" spans="1:49" ht="21.95" customHeight="1">
      <c r="A54" s="1183" t="s">
        <v>175</v>
      </c>
      <c r="B54" s="1183" t="s">
        <v>176</v>
      </c>
      <c r="C54" s="1183" t="s">
        <v>177</v>
      </c>
      <c r="D54" s="1183" t="s">
        <v>178</v>
      </c>
      <c r="E54" s="2590"/>
      <c r="F54" s="2590"/>
      <c r="G54" s="2590"/>
      <c r="H54" s="2590"/>
      <c r="I54" s="2417"/>
      <c r="J54" s="2435" t="str">
        <f>I53&amp;".1"</f>
        <v>....1.1</v>
      </c>
      <c r="K54" s="1183"/>
      <c r="L54" s="1183"/>
      <c r="M54" s="1226" t="s">
        <v>405</v>
      </c>
      <c r="Q54" s="2567"/>
      <c r="R54" s="2567">
        <v>1</v>
      </c>
      <c r="S54" s="454"/>
      <c r="T54" s="293"/>
      <c r="U54" s="1252" t="str">
        <f>$J54</f>
        <v>....1.1</v>
      </c>
      <c r="V54" s="223" t="s">
        <v>406</v>
      </c>
      <c r="W54" s="237"/>
      <c r="X54" s="2551"/>
      <c r="Y54" s="2552"/>
      <c r="Z54" s="2552"/>
      <c r="AA54" s="2552"/>
      <c r="AB54" s="2552"/>
      <c r="AC54" s="2547"/>
      <c r="AD54" s="2547"/>
      <c r="AE54" s="2547"/>
      <c r="AF54" s="2607"/>
      <c r="AG54" s="2551"/>
      <c r="AH54" s="2552"/>
      <c r="AI54" s="2552"/>
      <c r="AJ54" s="2552"/>
      <c r="AK54" s="2552"/>
      <c r="AL54" s="2552"/>
      <c r="AM54" s="2552"/>
      <c r="AN54" s="2552"/>
      <c r="AO54" s="2552"/>
      <c r="AP54" s="2553"/>
      <c r="AQ54" s="1174" t="s">
        <v>407</v>
      </c>
      <c r="AS54" s="436"/>
      <c r="AT54" s="436" t="str">
        <f t="shared" si="2"/>
        <v>Группа потребителей</v>
      </c>
      <c r="AU54" s="436"/>
      <c r="AV54" s="436"/>
      <c r="AW54" s="1071">
        <v>21</v>
      </c>
    </row>
    <row r="55" spans="1:49" ht="21.95" customHeight="1">
      <c r="A55" s="1183" t="s">
        <v>175</v>
      </c>
      <c r="B55" s="1183" t="s">
        <v>176</v>
      </c>
      <c r="C55" s="1183" t="s">
        <v>177</v>
      </c>
      <c r="D55" s="1183" t="s">
        <v>178</v>
      </c>
      <c r="E55" s="2590"/>
      <c r="F55" s="2590"/>
      <c r="G55" s="2590"/>
      <c r="H55" s="2590"/>
      <c r="I55" s="2417"/>
      <c r="J55" s="2417"/>
      <c r="K55" s="2435" t="str">
        <f>J54&amp;".1"</f>
        <v>....1.1.1</v>
      </c>
      <c r="L55" s="78"/>
      <c r="M55" s="1226" t="s">
        <v>408</v>
      </c>
      <c r="Q55" s="2567"/>
      <c r="R55" s="2567"/>
      <c r="S55" s="454">
        <v>1</v>
      </c>
      <c r="T55" s="293"/>
      <c r="U55" s="1252" t="str">
        <f>$K55</f>
        <v>....1.1.1</v>
      </c>
      <c r="V55" s="1263"/>
      <c r="W55" s="237"/>
      <c r="X55" s="687"/>
      <c r="Y55" s="687"/>
      <c r="Z55" s="687"/>
      <c r="AA55" s="687"/>
      <c r="AB55" s="1321"/>
      <c r="AC55" s="2568"/>
      <c r="AD55" s="2445" t="s">
        <v>62</v>
      </c>
      <c r="AE55" s="2568"/>
      <c r="AF55" s="2445" t="s">
        <v>62</v>
      </c>
      <c r="AG55" s="1323"/>
      <c r="AH55" s="687"/>
      <c r="AI55" s="687"/>
      <c r="AJ55" s="687"/>
      <c r="AK55" s="1173"/>
      <c r="AL55" s="2568"/>
      <c r="AM55" s="2445" t="s">
        <v>62</v>
      </c>
      <c r="AN55" s="2568"/>
      <c r="AO55" s="2445" t="s">
        <v>62</v>
      </c>
      <c r="AP55" s="1264"/>
      <c r="AQ55" s="1223" t="s">
        <v>451</v>
      </c>
      <c r="AR55" s="447" t="e">
        <f ca="1">STRCHECKDATE(X57:AP57)</f>
        <v>#NAME?</v>
      </c>
      <c r="AS55" s="436"/>
      <c r="AT55" s="436" t="str">
        <f t="shared" si="2"/>
        <v/>
      </c>
      <c r="AU55" s="436"/>
      <c r="AV55" s="436"/>
      <c r="AW55" s="1071">
        <v>21</v>
      </c>
    </row>
    <row r="56" spans="1:49" ht="11.45" customHeight="1">
      <c r="A56" s="1183" t="s">
        <v>175</v>
      </c>
      <c r="B56" s="1183" t="s">
        <v>176</v>
      </c>
      <c r="C56" s="1183" t="s">
        <v>177</v>
      </c>
      <c r="D56" s="1183" t="s">
        <v>178</v>
      </c>
      <c r="E56" s="2590"/>
      <c r="F56" s="2590"/>
      <c r="G56" s="2590"/>
      <c r="H56" s="2590"/>
      <c r="I56" s="2417"/>
      <c r="J56" s="2417"/>
      <c r="K56" s="2417"/>
      <c r="L56" s="2435" t="str">
        <f>K55&amp;".1"</f>
        <v>....1.1.1.1</v>
      </c>
      <c r="M56" s="1226"/>
      <c r="Q56" s="2567"/>
      <c r="R56" s="2567"/>
      <c r="S56" s="454">
        <v>1</v>
      </c>
      <c r="T56" s="293"/>
      <c r="U56" s="1252" t="str">
        <f>$L56</f>
        <v>....1.1.1.1</v>
      </c>
      <c r="V56" s="1307"/>
      <c r="W56" s="237"/>
      <c r="X56" s="262"/>
      <c r="Y56" s="687"/>
      <c r="Z56" s="687"/>
      <c r="AA56" s="687"/>
      <c r="AB56" s="1321"/>
      <c r="AC56" s="2569"/>
      <c r="AD56" s="2445"/>
      <c r="AE56" s="2569"/>
      <c r="AF56" s="2445"/>
      <c r="AG56" s="1323"/>
      <c r="AH56" s="687"/>
      <c r="AI56" s="687"/>
      <c r="AJ56" s="687"/>
      <c r="AK56" s="1173"/>
      <c r="AL56" s="2569"/>
      <c r="AM56" s="2445"/>
      <c r="AN56" s="2569"/>
      <c r="AO56" s="2445"/>
      <c r="AP56" s="1264"/>
      <c r="AQ56" s="2586" t="s">
        <v>452</v>
      </c>
      <c r="AR56" s="447" t="e">
        <f ca="1">STRCHECKDATE(X58:AP58)</f>
        <v>#NAME?</v>
      </c>
      <c r="AS56" s="436"/>
      <c r="AT56" s="436" t="str">
        <f t="shared" si="2"/>
        <v/>
      </c>
      <c r="AU56" s="436"/>
      <c r="AV56" s="436"/>
      <c r="AW56" s="1071">
        <v>11</v>
      </c>
    </row>
    <row r="57" spans="1:49" ht="0" hidden="1" customHeight="1">
      <c r="A57" s="1183" t="s">
        <v>175</v>
      </c>
      <c r="B57" s="1183" t="s">
        <v>176</v>
      </c>
      <c r="C57" s="1183" t="s">
        <v>177</v>
      </c>
      <c r="D57" s="1183" t="s">
        <v>178</v>
      </c>
      <c r="E57" s="2590"/>
      <c r="F57" s="2590"/>
      <c r="G57" s="2590"/>
      <c r="H57" s="2590"/>
      <c r="I57" s="2417"/>
      <c r="J57" s="2417"/>
      <c r="K57" s="2417"/>
      <c r="L57" s="2435"/>
      <c r="M57" s="1226"/>
      <c r="Q57" s="2567"/>
      <c r="R57" s="2567"/>
      <c r="S57" s="454"/>
      <c r="T57" s="293"/>
      <c r="U57" s="1258"/>
      <c r="V57" s="237"/>
      <c r="W57" s="237"/>
      <c r="X57" s="262"/>
      <c r="Y57" s="262"/>
      <c r="Z57" s="262"/>
      <c r="AA57" s="262"/>
      <c r="AB57" s="1322" t="str">
        <f>AC55&amp;"-"&amp;AE55</f>
        <v>-</v>
      </c>
      <c r="AC57" s="2569"/>
      <c r="AD57" s="2445"/>
      <c r="AE57" s="2569"/>
      <c r="AF57" s="2445"/>
      <c r="AG57" s="1298"/>
      <c r="AH57" s="262"/>
      <c r="AI57" s="262"/>
      <c r="AJ57" s="262"/>
      <c r="AK57" s="265" t="str">
        <f>AL55&amp;"-"&amp;AN55</f>
        <v>-</v>
      </c>
      <c r="AL57" s="2569"/>
      <c r="AM57" s="2445"/>
      <c r="AN57" s="2569"/>
      <c r="AO57" s="2445"/>
      <c r="AP57" s="1265"/>
      <c r="AQ57" s="2587"/>
      <c r="AS57" s="436"/>
      <c r="AT57" s="436" t="str">
        <f t="shared" si="2"/>
        <v/>
      </c>
      <c r="AU57" s="436"/>
      <c r="AV57" s="436"/>
      <c r="AW57" s="1071">
        <v>0</v>
      </c>
    </row>
    <row r="58" spans="1:49" ht="11.45" customHeight="1">
      <c r="A58" s="1183" t="s">
        <v>175</v>
      </c>
      <c r="B58" s="1183" t="s">
        <v>176</v>
      </c>
      <c r="C58" s="1183" t="s">
        <v>177</v>
      </c>
      <c r="D58" s="1183" t="s">
        <v>178</v>
      </c>
      <c r="E58" s="2590"/>
      <c r="F58" s="2590"/>
      <c r="G58" s="2590"/>
      <c r="H58" s="2590"/>
      <c r="I58" s="2417"/>
      <c r="J58" s="2417"/>
      <c r="K58" s="2435"/>
      <c r="L58" s="1183"/>
      <c r="M58" s="1226"/>
      <c r="Q58" s="2567"/>
      <c r="R58" s="2567"/>
      <c r="S58" s="1247"/>
      <c r="T58" s="292"/>
      <c r="U58" s="1194"/>
      <c r="V58" s="225" t="s">
        <v>453</v>
      </c>
      <c r="W58" s="303"/>
      <c r="X58" s="303"/>
      <c r="Y58" s="303"/>
      <c r="Z58" s="303"/>
      <c r="AA58" s="303"/>
      <c r="AB58" s="303"/>
      <c r="AC58" s="2569"/>
      <c r="AD58" s="2445"/>
      <c r="AE58" s="2569"/>
      <c r="AF58" s="2445"/>
      <c r="AG58" s="303"/>
      <c r="AH58" s="303"/>
      <c r="AI58" s="303"/>
      <c r="AJ58" s="303"/>
      <c r="AK58" s="303"/>
      <c r="AL58" s="2569"/>
      <c r="AM58" s="2445"/>
      <c r="AN58" s="2569"/>
      <c r="AO58" s="2445"/>
      <c r="AP58" s="261"/>
      <c r="AQ58" s="2587"/>
      <c r="AS58" s="436"/>
      <c r="AT58" s="436" t="str">
        <f t="shared" si="2"/>
        <v>Добавить наименование поставщика</v>
      </c>
      <c r="AU58" s="436"/>
      <c r="AV58" s="436"/>
      <c r="AW58" s="1071">
        <v>11</v>
      </c>
    </row>
    <row r="59" spans="1:49" ht="11.45" customHeight="1">
      <c r="A59" s="1183" t="s">
        <v>175</v>
      </c>
      <c r="B59" s="1183" t="s">
        <v>176</v>
      </c>
      <c r="C59" s="1183" t="s">
        <v>177</v>
      </c>
      <c r="D59" s="1183" t="s">
        <v>178</v>
      </c>
      <c r="E59" s="2590"/>
      <c r="F59" s="2590"/>
      <c r="G59" s="2590"/>
      <c r="H59" s="2590"/>
      <c r="I59" s="2417"/>
      <c r="J59" s="2435"/>
      <c r="K59" s="1183"/>
      <c r="L59" s="1183"/>
      <c r="M59" s="1226"/>
      <c r="Q59" s="2567"/>
      <c r="R59" s="2567"/>
      <c r="S59" s="1247"/>
      <c r="T59" s="292"/>
      <c r="U59" s="1194"/>
      <c r="V59" s="224" t="s">
        <v>410</v>
      </c>
      <c r="W59" s="303"/>
      <c r="X59" s="303"/>
      <c r="Y59" s="303"/>
      <c r="Z59" s="303"/>
      <c r="AA59" s="303"/>
      <c r="AB59" s="303"/>
      <c r="AC59" s="1324"/>
      <c r="AD59" s="1324"/>
      <c r="AE59" s="1324"/>
      <c r="AF59" s="1324"/>
      <c r="AG59" s="303"/>
      <c r="AH59" s="303"/>
      <c r="AI59" s="303"/>
      <c r="AJ59" s="303"/>
      <c r="AK59" s="303"/>
      <c r="AL59" s="303"/>
      <c r="AM59" s="303"/>
      <c r="AN59" s="303"/>
      <c r="AO59" s="303"/>
      <c r="AP59" s="261"/>
      <c r="AQ59" s="2588"/>
      <c r="AS59" s="436"/>
      <c r="AT59" s="436" t="str">
        <f t="shared" si="2"/>
        <v>Добавить вид теплоносителя (параметры теплоносителя)</v>
      </c>
      <c r="AU59" s="436"/>
      <c r="AV59" s="436"/>
      <c r="AW59" s="1071">
        <v>11</v>
      </c>
    </row>
    <row r="60" spans="1:49" ht="11.45" customHeight="1">
      <c r="A60" s="1183" t="s">
        <v>175</v>
      </c>
      <c r="B60" s="1183" t="s">
        <v>176</v>
      </c>
      <c r="C60" s="1183" t="s">
        <v>177</v>
      </c>
      <c r="D60" s="1183" t="s">
        <v>178</v>
      </c>
      <c r="E60" s="2590"/>
      <c r="F60" s="2590"/>
      <c r="G60" s="2590"/>
      <c r="H60" s="2590"/>
      <c r="I60" s="2435"/>
      <c r="J60" s="1183"/>
      <c r="K60" s="1183"/>
      <c r="L60" s="1183"/>
      <c r="M60" s="1226"/>
      <c r="Q60" s="2567"/>
      <c r="R60" s="1247"/>
      <c r="S60" s="1247"/>
      <c r="T60" s="292"/>
      <c r="U60" s="119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1">
        <v>11</v>
      </c>
    </row>
    <row r="61" spans="1:49" ht="0" hidden="1" customHeight="1">
      <c r="A61" s="1183" t="s">
        <v>175</v>
      </c>
      <c r="B61" s="1183" t="s">
        <v>176</v>
      </c>
      <c r="C61" s="1183" t="s">
        <v>177</v>
      </c>
      <c r="D61" s="1183" t="s">
        <v>178</v>
      </c>
      <c r="E61" s="2590"/>
      <c r="F61" s="2590"/>
      <c r="G61" s="2590"/>
      <c r="H61" s="2589"/>
      <c r="I61" s="1183"/>
      <c r="J61" s="1183"/>
      <c r="K61" s="1183"/>
      <c r="L61" s="1183"/>
      <c r="M61" s="1226"/>
      <c r="N61" s="624"/>
      <c r="O61" s="624"/>
      <c r="P61" s="445"/>
      <c r="Q61" s="296"/>
      <c r="R61" s="311"/>
      <c r="S61" s="291"/>
      <c r="T61" s="296"/>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1304"/>
      <c r="AQ61" s="1305"/>
      <c r="AS61" s="436"/>
      <c r="AT61" s="436" t="str">
        <f t="shared" si="2"/>
        <v/>
      </c>
      <c r="AU61" s="436"/>
      <c r="AV61" s="436"/>
      <c r="AW61" s="1071">
        <v>0</v>
      </c>
    </row>
    <row r="62" spans="1:49" s="2344" customFormat="1" ht="0" hidden="1" customHeight="1">
      <c r="A62" s="1291" t="s">
        <v>175</v>
      </c>
      <c r="B62" s="1291" t="s">
        <v>176</v>
      </c>
      <c r="C62" s="1291" t="s">
        <v>177</v>
      </c>
      <c r="D62" s="1290"/>
      <c r="E62" s="2590"/>
      <c r="F62" s="2590"/>
      <c r="G62" s="2589"/>
      <c r="H62" s="1290"/>
      <c r="I62" s="1290"/>
      <c r="J62" s="1290"/>
      <c r="K62" s="1290"/>
      <c r="L62" s="1290"/>
      <c r="M62" s="1293"/>
      <c r="N62" s="1294"/>
      <c r="O62" s="1294"/>
      <c r="P62" s="287"/>
      <c r="Q62" s="1232"/>
      <c r="R62" s="1233"/>
      <c r="S62" s="1232"/>
      <c r="T62" s="1232"/>
      <c r="U62" s="1238"/>
      <c r="V62" s="1241" t="s">
        <v>413</v>
      </c>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S62" s="719"/>
      <c r="AT62" s="719" t="str">
        <f t="shared" si="2"/>
        <v>Добавить источник для дифференциации</v>
      </c>
      <c r="AU62" s="719"/>
      <c r="AV62" s="719"/>
      <c r="AW62" s="454">
        <v>0</v>
      </c>
    </row>
    <row r="63" spans="1:49" s="2344" customFormat="1" ht="0" hidden="1" customHeight="1">
      <c r="A63" s="1291" t="s">
        <v>175</v>
      </c>
      <c r="B63" s="1291" t="s">
        <v>176</v>
      </c>
      <c r="C63" s="1290"/>
      <c r="D63" s="1290"/>
      <c r="E63" s="2590"/>
      <c r="F63" s="2589"/>
      <c r="G63" s="1290"/>
      <c r="H63" s="1290"/>
      <c r="I63" s="1290"/>
      <c r="J63" s="1290"/>
      <c r="K63" s="1290"/>
      <c r="L63" s="1290"/>
      <c r="M63" s="1293"/>
      <c r="N63" s="1295"/>
      <c r="O63" s="1295"/>
      <c r="P63" s="287"/>
      <c r="Q63" s="1232"/>
      <c r="R63" s="1233"/>
      <c r="S63" s="1232"/>
      <c r="T63" s="1232"/>
      <c r="U63" s="1238"/>
      <c r="V63" s="1241" t="s">
        <v>414</v>
      </c>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S63" s="719"/>
      <c r="AT63" s="719" t="str">
        <f t="shared" si="2"/>
        <v>Добавить централизованную систему для дифференциации</v>
      </c>
      <c r="AU63" s="719"/>
      <c r="AV63" s="719"/>
      <c r="AW63" s="454">
        <v>0</v>
      </c>
    </row>
    <row r="64" spans="1:49" s="2344" customFormat="1" ht="0" hidden="1" customHeight="1">
      <c r="A64" s="1291" t="s">
        <v>175</v>
      </c>
      <c r="B64" s="1291"/>
      <c r="C64" s="1291"/>
      <c r="D64" s="1291"/>
      <c r="E64" s="2589"/>
      <c r="F64" s="1291"/>
      <c r="G64" s="1291"/>
      <c r="H64" s="1291"/>
      <c r="I64" s="1291"/>
      <c r="J64" s="1291"/>
      <c r="K64" s="1291"/>
      <c r="L64" s="1291"/>
      <c r="M64" s="1297"/>
      <c r="N64" s="1295"/>
      <c r="O64" s="1295"/>
      <c r="P64" s="287"/>
      <c r="Q64" s="316"/>
      <c r="R64" s="1260"/>
      <c r="S64" s="316"/>
      <c r="T64" s="316"/>
      <c r="U64" s="1238"/>
      <c r="V64" s="1241" t="s">
        <v>415</v>
      </c>
      <c r="W64" s="1240"/>
      <c r="X64" s="1240"/>
      <c r="Y64" s="1240"/>
      <c r="Z64" s="1240"/>
      <c r="AA64" s="1240"/>
      <c r="AB64" s="1240"/>
      <c r="AC64" s="1240"/>
      <c r="AD64" s="1240"/>
      <c r="AE64" s="1240"/>
      <c r="AF64" s="1240"/>
      <c r="AG64" s="1240"/>
      <c r="AH64" s="1240"/>
      <c r="AI64" s="1240"/>
      <c r="AJ64" s="1240"/>
      <c r="AK64" s="1240"/>
      <c r="AL64" s="1240"/>
      <c r="AM64" s="1240"/>
      <c r="AN64" s="1240"/>
      <c r="AO64" s="1240"/>
      <c r="AP64" s="1240"/>
      <c r="AQ64" s="1240"/>
      <c r="AS64" s="436"/>
      <c r="AT64" s="436" t="str">
        <f t="shared" si="2"/>
        <v>Добавить территорию для дифференциации</v>
      </c>
      <c r="AU64" s="436"/>
      <c r="AV64" s="436"/>
      <c r="AW64" s="447">
        <v>0</v>
      </c>
    </row>
    <row r="65" spans="1:49" s="2344" customFormat="1" ht="4.1500000000000004" customHeight="1">
      <c r="A65" s="1290"/>
      <c r="B65" s="1290"/>
      <c r="C65" s="1290"/>
      <c r="D65" s="1290"/>
      <c r="E65" s="1291"/>
      <c r="F65" s="1290"/>
      <c r="G65" s="1290"/>
      <c r="H65" s="1290"/>
      <c r="I65" s="1290"/>
      <c r="J65" s="1290"/>
      <c r="K65" s="1290"/>
      <c r="L65" s="1290"/>
      <c r="M65" s="1293"/>
      <c r="N65" s="1295"/>
      <c r="O65" s="1295"/>
      <c r="P65" s="287"/>
      <c r="Q65" s="1232"/>
      <c r="R65" s="1233"/>
      <c r="S65" s="1232"/>
      <c r="T65" s="1232"/>
      <c r="U65" s="1238"/>
      <c r="V65" s="1241" t="s">
        <v>447</v>
      </c>
      <c r="W65" s="1240"/>
      <c r="X65" s="1240"/>
      <c r="Y65" s="1240"/>
      <c r="Z65" s="1240"/>
      <c r="AA65" s="1240"/>
      <c r="AB65" s="1240"/>
      <c r="AC65" s="1240"/>
      <c r="AD65" s="1240"/>
      <c r="AE65" s="1240"/>
      <c r="AF65" s="1240"/>
      <c r="AG65" s="1240"/>
      <c r="AH65" s="1240"/>
      <c r="AI65" s="1240"/>
      <c r="AJ65" s="1240"/>
      <c r="AK65" s="1240"/>
      <c r="AL65" s="1240"/>
      <c r="AM65" s="1240"/>
      <c r="AN65" s="1240"/>
      <c r="AO65" s="1240"/>
      <c r="AP65" s="1240"/>
      <c r="AQ65" s="1240"/>
      <c r="AS65" s="719"/>
      <c r="AT65" s="719" t="str">
        <f t="shared" si="2"/>
        <v>Добавить наименование тарифа</v>
      </c>
      <c r="AU65" s="719"/>
      <c r="AV65" s="719"/>
      <c r="AW65" s="454">
        <v>4</v>
      </c>
    </row>
    <row r="66" spans="1:49" ht="11.45" customHeight="1">
      <c r="N66" s="1071"/>
      <c r="O66" s="1071"/>
      <c r="P66" s="445"/>
      <c r="Q66" s="1071"/>
      <c r="R66" s="1071"/>
      <c r="S66" s="1071"/>
      <c r="T66" s="1071"/>
      <c r="U66" s="1071"/>
      <c r="AR66" s="1071"/>
      <c r="AS66" s="1071"/>
      <c r="AT66" s="1071"/>
      <c r="AU66" s="1071"/>
      <c r="AV66" s="1071"/>
      <c r="AW66" s="1071">
        <v>11</v>
      </c>
    </row>
    <row r="67" spans="1:49" ht="35.65" customHeight="1">
      <c r="P67" s="445"/>
      <c r="U67" s="1169"/>
      <c r="V67" s="2562"/>
      <c r="W67" s="2562"/>
      <c r="X67" s="2562"/>
      <c r="Y67" s="2562"/>
      <c r="Z67" s="2562"/>
      <c r="AA67" s="2562"/>
      <c r="AB67" s="2562"/>
      <c r="AC67" s="2562"/>
      <c r="AD67" s="2562"/>
      <c r="AE67" s="2562"/>
      <c r="AF67" s="2562"/>
      <c r="AG67" s="2562"/>
      <c r="AH67" s="2562"/>
      <c r="AI67" s="2562"/>
      <c r="AJ67" s="2562"/>
      <c r="AK67" s="2562"/>
      <c r="AL67" s="2562"/>
      <c r="AM67" s="2562"/>
      <c r="AN67" s="2562"/>
      <c r="AO67" s="2562"/>
      <c r="AP67" s="2562"/>
      <c r="AQ67" s="2562"/>
      <c r="AW67" s="1071">
        <v>34</v>
      </c>
    </row>
    <row r="68" spans="1:49" ht="21" customHeight="1">
      <c r="P68" s="445"/>
      <c r="V68" s="2562"/>
      <c r="W68" s="2562"/>
      <c r="X68" s="2562"/>
      <c r="Y68" s="2562"/>
      <c r="Z68" s="2562"/>
      <c r="AA68" s="2562"/>
      <c r="AB68" s="2562"/>
      <c r="AC68" s="2562"/>
      <c r="AD68" s="2562"/>
      <c r="AE68" s="2562"/>
      <c r="AF68" s="2562"/>
      <c r="AG68" s="2562"/>
      <c r="AH68" s="2562"/>
      <c r="AI68" s="2562"/>
      <c r="AJ68" s="2562"/>
      <c r="AK68" s="2562"/>
      <c r="AL68" s="2562"/>
      <c r="AM68" s="2562"/>
      <c r="AN68" s="2562"/>
      <c r="AO68" s="2562"/>
      <c r="AP68" s="2562"/>
      <c r="AQ68" s="2562"/>
      <c r="AW68" s="1071">
        <v>20</v>
      </c>
    </row>
    <row r="69" spans="1:49" ht="14.65" customHeight="1">
      <c r="P69" s="445"/>
      <c r="AW69" s="1071">
        <v>14</v>
      </c>
    </row>
    <row r="70" spans="1:49" ht="28.5" customHeight="1">
      <c r="P70" s="445"/>
      <c r="V70" s="2562"/>
      <c r="W70" s="2562"/>
      <c r="X70" s="2562"/>
      <c r="Y70" s="2562"/>
      <c r="Z70" s="2562"/>
      <c r="AA70" s="2562"/>
      <c r="AB70" s="2562"/>
      <c r="AC70" s="2562"/>
      <c r="AD70" s="2562"/>
      <c r="AE70" s="2562"/>
      <c r="AF70" s="2562"/>
      <c r="AG70" s="2562"/>
      <c r="AH70" s="2562"/>
      <c r="AI70" s="2562"/>
      <c r="AJ70" s="2562"/>
      <c r="AK70" s="2562"/>
      <c r="AL70" s="2562"/>
      <c r="AM70" s="2562"/>
      <c r="AN70" s="2562"/>
      <c r="AO70" s="2562"/>
      <c r="AP70" s="2562"/>
      <c r="AQ70" s="2562"/>
      <c r="AW70" s="1071">
        <v>27</v>
      </c>
    </row>
    <row r="71" spans="1:49" ht="18.75" customHeight="1">
      <c r="P71" s="445"/>
      <c r="V71" s="2562"/>
      <c r="W71" s="2562"/>
      <c r="X71" s="2562"/>
      <c r="Y71" s="2562"/>
      <c r="Z71" s="2562"/>
      <c r="AA71" s="2562"/>
      <c r="AB71" s="2562"/>
      <c r="AC71" s="2562"/>
      <c r="AD71" s="2562"/>
      <c r="AE71" s="2562"/>
      <c r="AF71" s="2562"/>
      <c r="AG71" s="2562"/>
      <c r="AH71" s="2562"/>
      <c r="AI71" s="2562"/>
      <c r="AJ71" s="2562"/>
      <c r="AK71" s="2562"/>
      <c r="AL71" s="2562"/>
      <c r="AM71" s="2562"/>
      <c r="AN71" s="2562"/>
      <c r="AO71" s="2562"/>
      <c r="AP71" s="2562"/>
      <c r="AQ71" s="2562"/>
      <c r="AW71" s="1071">
        <v>18</v>
      </c>
    </row>
    <row r="72" spans="1:49" ht="22.5" hidden="1" customHeight="1">
      <c r="A72" s="1071" t="s">
        <v>82</v>
      </c>
      <c r="B72" s="1071">
        <v>0</v>
      </c>
      <c r="C72" s="1071">
        <v>0</v>
      </c>
      <c r="D72" s="1071">
        <v>0</v>
      </c>
      <c r="E72" s="1071">
        <v>0</v>
      </c>
      <c r="F72" s="1071">
        <v>0</v>
      </c>
      <c r="G72" s="1071">
        <v>0</v>
      </c>
      <c r="H72" s="1071">
        <v>0</v>
      </c>
      <c r="I72" s="1071">
        <v>0</v>
      </c>
      <c r="J72" s="1071">
        <v>0</v>
      </c>
      <c r="K72" s="1071">
        <v>0</v>
      </c>
      <c r="L72" s="1071">
        <v>0</v>
      </c>
      <c r="M72" s="1243">
        <v>0</v>
      </c>
      <c r="N72" s="1244">
        <v>0</v>
      </c>
      <c r="O72" s="1244">
        <v>0</v>
      </c>
      <c r="P72" s="1244">
        <v>0</v>
      </c>
      <c r="Q72" s="1244">
        <v>0</v>
      </c>
      <c r="R72" s="281">
        <v>3</v>
      </c>
      <c r="S72" s="281">
        <v>3</v>
      </c>
      <c r="T72" s="281">
        <v>3</v>
      </c>
      <c r="U72" s="517">
        <v>12</v>
      </c>
      <c r="V72" s="1071">
        <v>31</v>
      </c>
      <c r="W72" s="1071">
        <v>0</v>
      </c>
      <c r="X72" s="1071">
        <v>0</v>
      </c>
      <c r="Y72" s="1071">
        <v>0</v>
      </c>
      <c r="Z72" s="1071">
        <v>0</v>
      </c>
      <c r="AA72" s="1071">
        <v>0</v>
      </c>
      <c r="AB72" s="1071">
        <v>0</v>
      </c>
      <c r="AC72" s="1071">
        <v>0</v>
      </c>
      <c r="AD72" s="1071">
        <v>0</v>
      </c>
      <c r="AE72" s="1071">
        <v>0</v>
      </c>
      <c r="AF72" s="1071">
        <v>0</v>
      </c>
      <c r="AG72" s="1071">
        <v>21</v>
      </c>
      <c r="AH72" s="1071">
        <v>21</v>
      </c>
      <c r="AI72" s="1071">
        <v>21</v>
      </c>
      <c r="AJ72" s="1071">
        <v>21</v>
      </c>
      <c r="AK72" s="1071">
        <v>21</v>
      </c>
      <c r="AL72" s="1071">
        <v>11</v>
      </c>
      <c r="AM72" s="1071">
        <v>3</v>
      </c>
      <c r="AN72" s="1071">
        <v>11</v>
      </c>
      <c r="AO72" s="1071">
        <v>8</v>
      </c>
      <c r="AP72" s="1071">
        <v>4</v>
      </c>
      <c r="AQ72" s="1071">
        <v>115</v>
      </c>
      <c r="AR72" s="447">
        <v>10</v>
      </c>
      <c r="AS72" s="447">
        <v>10</v>
      </c>
      <c r="AT72" s="447">
        <v>10</v>
      </c>
      <c r="AU72" s="447">
        <v>10</v>
      </c>
      <c r="AV72" s="447">
        <v>10</v>
      </c>
      <c r="AW72" s="107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C65" sqref="C65"/>
    </sheetView>
  </sheetViews>
  <sheetFormatPr defaultColWidth="9.140625" defaultRowHeight="11.25" customHeight="1"/>
  <cols>
    <col min="1" max="1" width="10.7109375" style="2318" hidden="1" customWidth="1"/>
    <col min="2" max="2" width="10.7109375" style="2341" hidden="1" customWidth="1"/>
    <col min="3" max="3" width="3" style="2319" customWidth="1"/>
    <col min="4" max="4" width="1" style="2360" customWidth="1"/>
    <col min="5" max="6" width="55" style="2360" customWidth="1"/>
    <col min="7" max="7" width="1" style="2388" customWidth="1"/>
    <col min="8" max="8" width="18" style="2360" hidden="1" customWidth="1"/>
    <col min="9" max="9" width="59" style="2320" customWidth="1"/>
    <col min="10" max="10" width="52.140625" style="2357" hidden="1" customWidth="1"/>
    <col min="11" max="11" width="8" style="2360" customWidth="1"/>
    <col min="12" max="12" width="77" style="2360" customWidth="1"/>
    <col min="13" max="16" width="8" style="2360" customWidth="1"/>
    <col min="17" max="17" width="12" style="2360" hidden="1" customWidth="1"/>
  </cols>
  <sheetData>
    <row r="1" spans="1:17" s="2342" customFormat="1" ht="3" customHeight="1">
      <c r="A1" s="713"/>
      <c r="B1" s="178"/>
      <c r="F1" s="179" t="s">
        <v>13</v>
      </c>
      <c r="G1" s="347"/>
      <c r="H1" s="11"/>
      <c r="I1" s="347"/>
      <c r="J1" s="797"/>
      <c r="Q1" s="179" t="s">
        <v>14</v>
      </c>
    </row>
    <row r="2" spans="1:17" s="2370" customFormat="1" ht="14.25" customHeight="1">
      <c r="A2" s="713"/>
      <c r="B2" s="38"/>
      <c r="E2" s="1655" t="str">
        <f>code</f>
        <v>Код отчёта: PP110.OPEN.INFO.BALANCE.HEAT.EIAS</v>
      </c>
      <c r="F2" s="206"/>
      <c r="G2" s="182"/>
      <c r="H2" s="182"/>
      <c r="I2" s="182"/>
      <c r="J2" s="798"/>
      <c r="K2" s="182"/>
      <c r="Q2" s="11">
        <v>14</v>
      </c>
    </row>
    <row r="3" spans="1:17" ht="14.65" customHeight="1">
      <c r="E3" s="183" t="str">
        <f>version</f>
        <v>Версия отчёта: 1.1.4</v>
      </c>
      <c r="F3" s="206"/>
      <c r="G3" s="701"/>
      <c r="H3" s="701"/>
      <c r="I3" s="701"/>
      <c r="J3" s="799"/>
      <c r="K3" s="28"/>
      <c r="Q3" s="14">
        <v>14</v>
      </c>
    </row>
    <row r="4" spans="1:17" s="2333" customFormat="1" ht="6.4" customHeight="1">
      <c r="A4" s="714"/>
      <c r="B4" s="169"/>
      <c r="C4" s="170"/>
      <c r="D4" s="171"/>
      <c r="E4" s="180"/>
      <c r="F4" s="181"/>
      <c r="G4" s="702"/>
      <c r="H4" s="345"/>
      <c r="I4" s="347"/>
      <c r="J4" s="800"/>
      <c r="Q4" s="173">
        <v>6</v>
      </c>
    </row>
    <row r="5" spans="1:17" ht="39.75" customHeight="1">
      <c r="D5" s="15"/>
      <c r="E5" s="2416"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417"/>
      <c r="G5" s="703"/>
      <c r="J5" s="801"/>
      <c r="Q5" s="14">
        <v>38</v>
      </c>
    </row>
    <row r="6" spans="1:17" s="2333"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333" customFormat="1" ht="6.4" customHeight="1">
      <c r="A8" s="715"/>
      <c r="B8" s="169"/>
      <c r="C8" s="170"/>
      <c r="D8" s="176"/>
      <c r="E8" s="174"/>
      <c r="F8" s="177"/>
      <c r="G8" s="17"/>
      <c r="H8" s="345"/>
      <c r="I8" s="347"/>
      <c r="J8" s="803"/>
      <c r="Q8" s="173">
        <v>6</v>
      </c>
    </row>
    <row r="9" spans="1:17" s="2360" customFormat="1" ht="19.5" hidden="1" customHeight="1">
      <c r="A9" s="714"/>
      <c r="B9" s="38"/>
      <c r="C9" s="344"/>
      <c r="D9" s="346"/>
      <c r="E9" s="1081" t="s">
        <v>17</v>
      </c>
      <c r="F9" s="1833"/>
      <c r="G9" s="703"/>
      <c r="I9" s="1812" t="str">
        <f>IF(TITLE_STRUCTURE_INFO_ROIV="","","раскрывается "&amp;INDEX(ROIV_INFO_COMMENT,MATCH(TITLE_STRUCTURE_INFO_ROIV,ROIV_INFO_LIST,0)))</f>
        <v/>
      </c>
      <c r="J9" s="802"/>
      <c r="Q9" s="345">
        <v>0</v>
      </c>
    </row>
    <row r="10" spans="1:17" s="2333" customFormat="1" ht="24" hidden="1" customHeight="1">
      <c r="A10" s="715"/>
      <c r="B10" s="362"/>
      <c r="C10" s="363"/>
      <c r="D10" s="176"/>
      <c r="E10" s="1081" t="s">
        <v>18</v>
      </c>
      <c r="F10" s="1975" t="s">
        <v>19</v>
      </c>
      <c r="G10" s="17"/>
      <c r="H10" s="345"/>
      <c r="I10" s="347"/>
      <c r="J10" s="803"/>
      <c r="Q10" s="366">
        <v>24</v>
      </c>
    </row>
    <row r="11" spans="1:17" ht="22.5" hidden="1" customHeight="1">
      <c r="A11" s="2419" t="s">
        <v>20</v>
      </c>
      <c r="D11" s="15"/>
      <c r="E11" s="1081" t="s">
        <v>21</v>
      </c>
      <c r="F11" s="1647" t="s">
        <v>22</v>
      </c>
      <c r="G11" s="17"/>
      <c r="H11" s="704" t="s">
        <v>23</v>
      </c>
      <c r="J11" s="802" t="s">
        <v>24</v>
      </c>
      <c r="Q11" s="14">
        <v>0</v>
      </c>
    </row>
    <row r="12" spans="1:17" ht="22.5" hidden="1" customHeight="1">
      <c r="A12" s="2419"/>
      <c r="D12" s="15"/>
      <c r="E12" s="1081" t="s">
        <v>25</v>
      </c>
      <c r="F12" s="1647"/>
      <c r="G12" s="13"/>
      <c r="J12" s="802" t="s">
        <v>26</v>
      </c>
      <c r="Q12" s="14">
        <v>0</v>
      </c>
    </row>
    <row r="13" spans="1:17" s="2360" customFormat="1" ht="22.5" hidden="1" customHeight="1">
      <c r="A13" s="718" t="s">
        <v>27</v>
      </c>
      <c r="B13" s="38"/>
      <c r="C13" s="344"/>
      <c r="D13" s="346"/>
      <c r="E13" s="1689" t="s">
        <v>28</v>
      </c>
      <c r="F13" s="1647" t="s">
        <v>22</v>
      </c>
      <c r="G13" s="17"/>
      <c r="H13" s="701"/>
      <c r="I13" s="347"/>
      <c r="J13" s="1690" t="s">
        <v>29</v>
      </c>
      <c r="Q13" s="345">
        <v>0</v>
      </c>
    </row>
    <row r="14" spans="1:17" s="2360" customFormat="1" ht="27" customHeight="1">
      <c r="A14" s="718" t="s">
        <v>30</v>
      </c>
      <c r="B14" s="38"/>
      <c r="C14" s="344"/>
      <c r="D14" s="346"/>
      <c r="E14" s="1081" t="s">
        <v>31</v>
      </c>
      <c r="F14" s="2009">
        <v>2023</v>
      </c>
      <c r="G14" s="17"/>
      <c r="H14" s="701"/>
      <c r="I14" s="347"/>
      <c r="J14" s="802" t="s">
        <v>32</v>
      </c>
      <c r="Q14" s="345">
        <v>0</v>
      </c>
    </row>
    <row r="15" spans="1:17" s="2360" customFormat="1" ht="19.5" hidden="1" customHeight="1">
      <c r="A15" s="718" t="s">
        <v>33</v>
      </c>
      <c r="B15" s="38"/>
      <c r="C15" s="344"/>
      <c r="D15" s="346"/>
      <c r="E15" s="1081" t="s">
        <v>34</v>
      </c>
      <c r="F15" s="1682"/>
      <c r="G15" s="17"/>
      <c r="H15" s="701"/>
      <c r="I15" s="347"/>
      <c r="J15" s="802" t="s">
        <v>35</v>
      </c>
      <c r="Q15" s="345">
        <v>0</v>
      </c>
    </row>
    <row r="16" spans="1:17" s="2333"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23</v>
      </c>
      <c r="Q17" s="14">
        <v>20</v>
      </c>
    </row>
    <row r="18" spans="1:17" ht="25.5" hidden="1" customHeight="1">
      <c r="D18" s="15"/>
      <c r="E18" s="1689" t="s">
        <v>38</v>
      </c>
      <c r="F18" s="1648"/>
      <c r="G18" s="13"/>
      <c r="I18" s="705"/>
      <c r="J18" s="2418" t="s">
        <v>39</v>
      </c>
      <c r="Q18" s="14">
        <v>0</v>
      </c>
    </row>
    <row r="19" spans="1:17" ht="25.5" hidden="1" customHeight="1">
      <c r="D19" s="15"/>
      <c r="E19" s="108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8"/>
      <c r="G19" s="13"/>
      <c r="I19" s="705"/>
      <c r="J19" s="2418"/>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47"/>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41</v>
      </c>
      <c r="F23" s="153"/>
      <c r="G23" s="13"/>
      <c r="Q23" s="14">
        <v>0</v>
      </c>
    </row>
    <row r="24" spans="1:17" ht="19.5" hidden="1" customHeight="1">
      <c r="D24" s="15"/>
      <c r="E24" s="327"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43</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48"/>
      <c r="G26" s="13"/>
      <c r="Q26" s="14">
        <v>0</v>
      </c>
    </row>
    <row r="27" spans="1:17" ht="19.5" hidden="1" customHeight="1">
      <c r="D27" s="15"/>
      <c r="E27" s="1081"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44</v>
      </c>
      <c r="F28" s="155"/>
      <c r="G28" s="13"/>
      <c r="Q28" s="14">
        <v>0</v>
      </c>
    </row>
    <row r="29" spans="1:17" ht="19.5" hidden="1" customHeight="1">
      <c r="D29" s="15"/>
      <c r="E29" s="327" t="s">
        <v>42</v>
      </c>
      <c r="F29" s="155"/>
      <c r="G29" s="13"/>
      <c r="Q29" s="14">
        <v>0</v>
      </c>
    </row>
    <row r="30" spans="1:17" s="2333"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45</v>
      </c>
      <c r="G31" s="707"/>
      <c r="Q31" s="14">
        <v>20</v>
      </c>
    </row>
    <row r="32" spans="1:17" ht="21" hidden="1" customHeight="1">
      <c r="C32" s="18"/>
      <c r="D32" s="19"/>
      <c r="E32" s="328" t="s">
        <v>46</v>
      </c>
      <c r="F32" s="154"/>
      <c r="G32" s="707"/>
      <c r="Q32" s="14">
        <v>20</v>
      </c>
    </row>
    <row r="33" spans="1:17" ht="21" customHeight="1">
      <c r="C33" s="18"/>
      <c r="D33" s="19"/>
      <c r="E33" s="327" t="s">
        <v>47</v>
      </c>
      <c r="F33" s="154" t="s">
        <v>48</v>
      </c>
      <c r="G33" s="707"/>
      <c r="Q33" s="14">
        <v>20</v>
      </c>
    </row>
    <row r="34" spans="1:17" ht="21" customHeight="1">
      <c r="C34" s="18"/>
      <c r="D34" s="19"/>
      <c r="E34" s="327" t="s">
        <v>49</v>
      </c>
      <c r="F34" s="154" t="s">
        <v>50</v>
      </c>
      <c r="G34" s="707"/>
      <c r="H34" s="20"/>
      <c r="Q34" s="14">
        <v>20</v>
      </c>
    </row>
    <row r="35" spans="1:17" s="2333" customFormat="1" ht="11.45" customHeight="1">
      <c r="A35" s="715"/>
      <c r="B35" s="169"/>
      <c r="C35" s="170"/>
      <c r="D35" s="176"/>
      <c r="E35" s="174"/>
      <c r="F35" s="177"/>
      <c r="G35" s="17"/>
      <c r="H35" s="345"/>
      <c r="I35" s="347"/>
      <c r="J35" s="800"/>
      <c r="Q35" s="173">
        <v>11</v>
      </c>
    </row>
    <row r="36" spans="1:17" ht="19.5" customHeight="1">
      <c r="A36" s="805"/>
      <c r="D36" s="19"/>
      <c r="E36" s="327" t="s">
        <v>51</v>
      </c>
      <c r="F36" s="2010" t="s">
        <v>52</v>
      </c>
      <c r="G36" s="17"/>
      <c r="Q36" s="14">
        <v>0</v>
      </c>
    </row>
    <row r="37" spans="1:17" ht="21" customHeight="1">
      <c r="A37" s="805"/>
      <c r="D37" s="19"/>
      <c r="E37" s="327" t="s">
        <v>53</v>
      </c>
      <c r="F37" s="2010" t="s">
        <v>54</v>
      </c>
      <c r="G37" s="17"/>
      <c r="Q37" s="14">
        <v>20</v>
      </c>
    </row>
    <row r="38" spans="1:17" s="2333" customFormat="1" ht="6.4" customHeight="1">
      <c r="A38" s="715"/>
      <c r="B38" s="169"/>
      <c r="C38" s="170"/>
      <c r="D38" s="171"/>
      <c r="E38" s="172"/>
      <c r="F38" s="975"/>
      <c r="G38" s="13"/>
      <c r="H38" s="345"/>
      <c r="I38" s="347"/>
      <c r="J38" s="802"/>
      <c r="Q38" s="173">
        <v>6</v>
      </c>
    </row>
    <row r="39" spans="1:17" ht="36.75" customHeight="1">
      <c r="A39" s="715"/>
      <c r="D39" s="15"/>
      <c r="E39" s="327" t="s">
        <v>55</v>
      </c>
      <c r="F39" s="646" t="s">
        <v>19</v>
      </c>
      <c r="G39" s="13"/>
      <c r="H39" s="704" t="s">
        <v>23</v>
      </c>
      <c r="Q39" s="14">
        <v>35</v>
      </c>
    </row>
    <row r="40" spans="1:17" s="2333" customFormat="1" ht="6" hidden="1" customHeight="1">
      <c r="A40" s="714"/>
      <c r="B40" s="362"/>
      <c r="C40" s="363"/>
      <c r="D40" s="364"/>
      <c r="E40" s="365"/>
      <c r="F40" s="975"/>
      <c r="G40" s="13"/>
      <c r="H40" s="345"/>
      <c r="I40" s="347"/>
      <c r="J40" s="802"/>
      <c r="Q40" s="366">
        <v>6</v>
      </c>
    </row>
    <row r="41" spans="1:17" s="2360"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333" customFormat="1" ht="6" hidden="1" customHeight="1">
      <c r="A42" s="714"/>
      <c r="B42" s="362"/>
      <c r="C42" s="363"/>
      <c r="D42" s="364"/>
      <c r="E42" s="365"/>
      <c r="F42" s="975"/>
      <c r="G42" s="13"/>
      <c r="H42" s="345"/>
      <c r="I42" s="347"/>
      <c r="J42" s="800"/>
      <c r="Q42" s="366">
        <v>0</v>
      </c>
    </row>
    <row r="43" spans="1:17" s="2360" customFormat="1" ht="27" hidden="1" customHeight="1">
      <c r="A43" s="714"/>
      <c r="B43" s="349"/>
      <c r="C43" s="344"/>
      <c r="D43" s="346"/>
      <c r="E43" s="327" t="s">
        <v>56</v>
      </c>
      <c r="F43" s="646" t="s">
        <v>19</v>
      </c>
      <c r="G43" s="13"/>
      <c r="I43" s="347"/>
      <c r="J43" s="802"/>
      <c r="Q43" s="345">
        <v>0</v>
      </c>
    </row>
    <row r="44" spans="1:17" s="2360" customFormat="1" ht="27" hidden="1" customHeight="1">
      <c r="A44" s="714"/>
      <c r="B44" s="349"/>
      <c r="C44" s="344"/>
      <c r="D44" s="346"/>
      <c r="E44" s="1081" t="s">
        <v>57</v>
      </c>
      <c r="F44" s="1800"/>
      <c r="G44" s="13"/>
      <c r="I44" s="347"/>
      <c r="J44" s="802"/>
      <c r="Q44" s="345">
        <v>0</v>
      </c>
    </row>
    <row r="45" spans="1:17" s="2333" customFormat="1" ht="6" hidden="1" customHeight="1">
      <c r="A45" s="714"/>
      <c r="B45" s="362"/>
      <c r="C45" s="363"/>
      <c r="D45" s="364"/>
      <c r="E45" s="365"/>
      <c r="F45" s="975"/>
      <c r="G45" s="13"/>
      <c r="H45" s="345"/>
      <c r="I45" s="347"/>
      <c r="J45" s="802"/>
      <c r="Q45" s="366">
        <v>0</v>
      </c>
    </row>
    <row r="46" spans="1:17" s="2333" customFormat="1" ht="24.75" hidden="1" customHeight="1">
      <c r="A46" s="714"/>
      <c r="B46" s="362"/>
      <c r="C46" s="363"/>
      <c r="D46" s="364"/>
      <c r="E46" s="1081" t="s">
        <v>58</v>
      </c>
      <c r="F46" s="646" t="s">
        <v>19</v>
      </c>
      <c r="G46" s="13"/>
      <c r="H46" s="345"/>
      <c r="I46" s="347"/>
      <c r="J46" s="802"/>
      <c r="Q46" s="366">
        <v>0</v>
      </c>
    </row>
    <row r="47" spans="1:17" s="2360" customFormat="1" ht="24.75" hidden="1" customHeight="1">
      <c r="A47" s="714"/>
      <c r="B47" s="349"/>
      <c r="C47" s="344"/>
      <c r="D47" s="346"/>
      <c r="E47" s="1081" t="s">
        <v>59</v>
      </c>
      <c r="F47" s="646" t="s">
        <v>19</v>
      </c>
      <c r="G47" s="13"/>
      <c r="I47" s="347"/>
      <c r="J47" s="802"/>
      <c r="Q47" s="345">
        <v>0</v>
      </c>
    </row>
    <row r="48" spans="1:17" s="2333" customFormat="1" ht="6" hidden="1" customHeight="1">
      <c r="A48" s="714"/>
      <c r="B48" s="169"/>
      <c r="C48" s="170"/>
      <c r="D48" s="171"/>
      <c r="E48" s="172"/>
      <c r="F48" s="975"/>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333" customFormat="1" ht="6" customHeight="1">
      <c r="A50" s="715"/>
      <c r="B50" s="362"/>
      <c r="C50" s="363"/>
      <c r="D50" s="176"/>
      <c r="E50" s="174"/>
      <c r="F50" s="177"/>
      <c r="G50" s="17"/>
      <c r="H50" s="345"/>
      <c r="I50" s="347"/>
      <c r="J50" s="802"/>
      <c r="Q50" s="366">
        <v>0</v>
      </c>
    </row>
    <row r="51" spans="1:17" s="2360" customFormat="1" ht="28.5" customHeight="1">
      <c r="A51" s="716"/>
      <c r="B51" s="349"/>
      <c r="C51" s="466"/>
      <c r="D51" s="467"/>
      <c r="E51" s="327" t="s">
        <v>60</v>
      </c>
      <c r="F51" s="646" t="s">
        <v>19</v>
      </c>
      <c r="G51" s="468"/>
      <c r="I51" s="470"/>
      <c r="J51" s="804"/>
      <c r="P51" s="471"/>
      <c r="Q51" s="469">
        <v>0</v>
      </c>
    </row>
    <row r="52" spans="1:17" s="2333" customFormat="1" ht="6" customHeight="1">
      <c r="A52" s="715"/>
      <c r="B52" s="362"/>
      <c r="C52" s="363"/>
      <c r="D52" s="176"/>
      <c r="E52" s="174"/>
      <c r="F52" s="177"/>
      <c r="G52" s="17"/>
      <c r="H52" s="345"/>
      <c r="I52" s="347"/>
      <c r="J52" s="800"/>
      <c r="Q52" s="366">
        <v>0</v>
      </c>
    </row>
    <row r="53" spans="1:17" s="2360" customFormat="1" ht="27" customHeight="1">
      <c r="A53" s="716"/>
      <c r="B53" s="349"/>
      <c r="C53" s="466"/>
      <c r="D53" s="467"/>
      <c r="E53" s="327" t="s">
        <v>61</v>
      </c>
      <c r="F53" s="970" t="s">
        <v>62</v>
      </c>
      <c r="G53" s="468"/>
      <c r="I53" s="470"/>
      <c r="J53" s="804"/>
      <c r="P53" s="471"/>
      <c r="Q53" s="469">
        <v>0</v>
      </c>
    </row>
    <row r="54" spans="1:17" s="2360" customFormat="1" ht="27" customHeight="1">
      <c r="A54" s="716"/>
      <c r="B54" s="349"/>
      <c r="C54" s="466"/>
      <c r="D54" s="467"/>
      <c r="E54" s="327" t="s">
        <v>63</v>
      </c>
      <c r="F54" s="2317">
        <v>45379</v>
      </c>
      <c r="G54" s="468"/>
      <c r="I54" s="470"/>
      <c r="J54" s="804"/>
      <c r="P54" s="471"/>
      <c r="Q54" s="469">
        <v>0</v>
      </c>
    </row>
    <row r="55" spans="1:17" s="2333" customFormat="1" ht="6" customHeight="1">
      <c r="A55" s="715"/>
      <c r="B55" s="362"/>
      <c r="C55" s="363"/>
      <c r="D55" s="176"/>
      <c r="E55" s="174"/>
      <c r="F55" s="177"/>
      <c r="G55" s="17"/>
      <c r="H55" s="345"/>
      <c r="I55" s="347"/>
      <c r="J55" s="800"/>
      <c r="Q55" s="366">
        <v>0</v>
      </c>
    </row>
    <row r="56" spans="1:17" s="2360" customFormat="1" ht="25.5" customHeight="1">
      <c r="A56" s="716"/>
      <c r="B56" s="349"/>
      <c r="C56" s="466"/>
      <c r="D56" s="467"/>
      <c r="E56" s="327" t="s">
        <v>64</v>
      </c>
      <c r="F56" s="970" t="s">
        <v>62</v>
      </c>
      <c r="G56" s="468"/>
      <c r="I56" s="470"/>
      <c r="J56" s="804"/>
      <c r="P56" s="471"/>
      <c r="Q56" s="469">
        <v>0</v>
      </c>
    </row>
    <row r="57" spans="1:17" s="2333" customFormat="1" ht="6" customHeight="1">
      <c r="A57" s="715"/>
      <c r="B57" s="362"/>
      <c r="C57" s="363"/>
      <c r="D57" s="176"/>
      <c r="E57" s="174"/>
      <c r="F57" s="177"/>
      <c r="G57" s="17"/>
      <c r="H57" s="345"/>
      <c r="I57" s="347"/>
      <c r="J57" s="800"/>
      <c r="Q57" s="366">
        <v>0</v>
      </c>
    </row>
    <row r="58" spans="1:17" s="2360" customFormat="1" ht="15" customHeight="1">
      <c r="A58" s="716"/>
      <c r="B58" s="349"/>
      <c r="C58" s="466"/>
      <c r="D58" s="467"/>
      <c r="E58" s="327" t="s">
        <v>65</v>
      </c>
      <c r="F58" s="970" t="s">
        <v>62</v>
      </c>
      <c r="G58" s="468"/>
      <c r="I58" s="470"/>
      <c r="J58" s="804"/>
      <c r="P58" s="471"/>
      <c r="Q58" s="469">
        <v>0</v>
      </c>
    </row>
    <row r="59" spans="1:17" s="2360"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5" t="s">
        <v>62</v>
      </c>
      <c r="G59" s="468"/>
      <c r="I59" s="470"/>
      <c r="J59" s="804"/>
      <c r="P59" s="471"/>
      <c r="Q59" s="469">
        <v>0</v>
      </c>
    </row>
    <row r="60" spans="1:17" s="2360" customFormat="1" ht="15" customHeight="1">
      <c r="A60" s="716"/>
      <c r="B60" s="349"/>
      <c r="C60" s="466"/>
      <c r="D60" s="467"/>
      <c r="E60" s="1081" t="s">
        <v>66</v>
      </c>
      <c r="F60" s="2010" t="s">
        <v>67</v>
      </c>
      <c r="G60" s="468"/>
      <c r="I60" s="470"/>
      <c r="J60" s="804"/>
      <c r="P60" s="471"/>
      <c r="Q60" s="469">
        <v>0</v>
      </c>
    </row>
    <row r="61" spans="1:17" s="2333" customFormat="1" ht="6" hidden="1" customHeight="1">
      <c r="A61" s="715"/>
      <c r="B61" s="362"/>
      <c r="C61" s="363"/>
      <c r="D61" s="364"/>
      <c r="E61" s="365"/>
      <c r="F61" s="975"/>
      <c r="G61" s="13"/>
      <c r="H61" s="345"/>
      <c r="I61" s="347"/>
      <c r="J61" s="802"/>
      <c r="Q61" s="366">
        <v>0</v>
      </c>
    </row>
    <row r="62" spans="1:17" s="2360" customFormat="1" ht="33.75" hidden="1" customHeight="1">
      <c r="A62" s="715"/>
      <c r="B62" s="38"/>
      <c r="C62" s="344"/>
      <c r="D62" s="346"/>
      <c r="E62" s="1081" t="s">
        <v>68</v>
      </c>
      <c r="F62" s="1587" t="s">
        <v>62</v>
      </c>
      <c r="G62" s="13"/>
      <c r="H62" s="704" t="s">
        <v>23</v>
      </c>
      <c r="I62" s="347"/>
      <c r="J62" s="802"/>
      <c r="Q62" s="345">
        <v>0</v>
      </c>
    </row>
    <row r="63" spans="1:17" s="2333"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6"/>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11" t="s">
        <v>81</v>
      </c>
      <c r="G70" s="13"/>
      <c r="Q70" s="14">
        <v>20</v>
      </c>
    </row>
    <row r="71" spans="1:17" ht="21" customHeight="1">
      <c r="A71" s="717"/>
      <c r="D71" s="13"/>
      <c r="F71" s="72"/>
      <c r="G71" s="17"/>
      <c r="Q71" s="14">
        <v>20</v>
      </c>
    </row>
    <row r="72" spans="1:17" ht="21" customHeight="1">
      <c r="A72" s="717"/>
      <c r="B72" s="39"/>
      <c r="D72" s="22"/>
      <c r="E72" s="21"/>
      <c r="F72" s="955"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 style="2336" customWidth="1"/>
    <col min="17" max="17" width="3" style="2339" customWidth="1"/>
    <col min="18" max="18" width="3" style="2359" customWidth="1"/>
    <col min="19" max="19" width="12" style="2387" customWidth="1"/>
    <col min="20" max="20" width="31" style="2360" customWidth="1"/>
    <col min="21" max="21" width="0.140625" style="2360" customWidth="1"/>
    <col min="22" max="23" width="21.7109375" style="2360" hidden="1" customWidth="1"/>
    <col min="24" max="24" width="11.7109375" style="2360" hidden="1" customWidth="1"/>
    <col min="25" max="25" width="3.7109375" style="2360" hidden="1" customWidth="1"/>
    <col min="26" max="26" width="11.7109375" style="2360" hidden="1" customWidth="1"/>
    <col min="27" max="27" width="8.5703125" style="2360" hidden="1" customWidth="1"/>
    <col min="28" max="28" width="5.42578125" style="2360" customWidth="1"/>
    <col min="29" max="30" width="3" style="2360" customWidth="1"/>
    <col min="31" max="31" width="24" style="2360" customWidth="1"/>
    <col min="32" max="32" width="3.7109375" style="2360" customWidth="1"/>
    <col min="33" max="34" width="3" style="2360" customWidth="1"/>
    <col min="35" max="35" width="24" style="2360" customWidth="1"/>
    <col min="36" max="36" width="3.7109375" style="2360" customWidth="1"/>
    <col min="37" max="38" width="3" style="2360" customWidth="1"/>
    <col min="39" max="39" width="18" style="2360" customWidth="1"/>
    <col min="40" max="41" width="21" style="2360" customWidth="1"/>
    <col min="42" max="42" width="11" style="2360" customWidth="1"/>
    <col min="43" max="43" width="3.7109375" style="2360" customWidth="1"/>
    <col min="44" max="44" width="11" style="2360" customWidth="1"/>
    <col min="45" max="45" width="8.5703125" style="2360" hidden="1" customWidth="1"/>
    <col min="46" max="46" width="4" style="2360" customWidth="1"/>
    <col min="47" max="47" width="115" style="2360" customWidth="1"/>
    <col min="48" max="52" width="10" style="2344" customWidth="1"/>
    <col min="53" max="53" width="10.5703125" style="2360" hidden="1"/>
  </cols>
  <sheetData>
    <row r="1" spans="1:53" ht="22.5" hidden="1" customHeight="1">
      <c r="W1" s="264"/>
      <c r="X1" s="264"/>
      <c r="AO1" s="264"/>
      <c r="AP1" s="264"/>
      <c r="BA1" s="1071" t="s">
        <v>14</v>
      </c>
    </row>
    <row r="2" spans="1:53" ht="21" hidden="1" customHeight="1">
      <c r="A2" s="1279"/>
      <c r="B2" s="1279"/>
      <c r="C2" s="1279"/>
      <c r="D2" s="1279"/>
      <c r="E2" s="2563">
        <v>1</v>
      </c>
      <c r="F2" s="1279"/>
      <c r="G2" s="1279"/>
      <c r="H2" s="1279"/>
      <c r="I2" s="1279"/>
      <c r="J2" s="1279"/>
      <c r="K2" s="1279"/>
      <c r="L2" s="1280"/>
      <c r="M2" s="1281"/>
      <c r="N2" s="1281"/>
      <c r="O2" s="1281"/>
      <c r="P2" s="1325"/>
      <c r="Q2" s="799"/>
      <c r="R2" s="291"/>
      <c r="S2" s="1252" t="e">
        <f>INDEX(PT_DIFFERENTIATION_NUM_NTAR,MATCH(A2,PT_DIFFERENTIATION_NTAR_ID,0))</f>
        <v>#N/A</v>
      </c>
      <c r="T2" s="235" t="s">
        <v>124</v>
      </c>
      <c r="U2" s="237"/>
      <c r="V2" s="2558"/>
      <c r="W2" s="2558"/>
      <c r="X2" s="2558"/>
      <c r="Y2" s="2558"/>
      <c r="Z2" s="2558"/>
      <c r="AA2" s="2559"/>
      <c r="AB2" s="2557" t="e">
        <f>INDEX(PT_DIFFERENTIATION_NTAR,MATCH(A2,PT_DIFFERENTIATION_NTAR_ID,0))</f>
        <v>#N/A</v>
      </c>
      <c r="AC2" s="2558"/>
      <c r="AD2" s="2558"/>
      <c r="AE2" s="2558"/>
      <c r="AF2" s="2558"/>
      <c r="AG2" s="2558"/>
      <c r="AH2" s="2558"/>
      <c r="AI2" s="2558"/>
      <c r="AJ2" s="2558"/>
      <c r="AK2" s="2558"/>
      <c r="AL2" s="2558"/>
      <c r="AM2" s="2558"/>
      <c r="AN2" s="2558"/>
      <c r="AO2" s="2558"/>
      <c r="AP2" s="2558"/>
      <c r="AQ2" s="2558"/>
      <c r="AR2" s="2558"/>
      <c r="AS2" s="2558"/>
      <c r="AT2" s="2559"/>
      <c r="AU2" s="1174" t="s">
        <v>395</v>
      </c>
      <c r="AW2" s="436"/>
      <c r="AX2" s="436" t="str">
        <f t="shared" ref="AX2:AX8" si="0">IF(T2="","",T2)</f>
        <v>Наименование тарифа</v>
      </c>
      <c r="AY2" s="436"/>
      <c r="AZ2" s="436"/>
      <c r="BA2" s="1071">
        <v>0</v>
      </c>
    </row>
    <row r="3" spans="1:53" ht="21" hidden="1" customHeight="1">
      <c r="A3" s="1279"/>
      <c r="B3" s="1279"/>
      <c r="C3" s="1279"/>
      <c r="D3" s="1279"/>
      <c r="E3" s="2564"/>
      <c r="F3" s="2563">
        <v>1</v>
      </c>
      <c r="G3" s="1279"/>
      <c r="H3" s="1279"/>
      <c r="I3" s="1279"/>
      <c r="J3" s="1279"/>
      <c r="K3" s="1279"/>
      <c r="L3" s="1280"/>
      <c r="M3" s="1281"/>
      <c r="N3" s="1281"/>
      <c r="O3" s="1281"/>
      <c r="P3" s="1326"/>
      <c r="Q3" s="1327"/>
      <c r="R3" s="289"/>
      <c r="S3" s="1252" t="e">
        <f>INDEX(PT_DIFFERENTIATION_NUM_TER,MATCH(B3,PT_DIFFERENTIATION_TER_ID,0))</f>
        <v>#N/A</v>
      </c>
      <c r="T3" s="245" t="s">
        <v>396</v>
      </c>
      <c r="U3" s="237"/>
      <c r="V3" s="2558"/>
      <c r="W3" s="2558"/>
      <c r="X3" s="2558"/>
      <c r="Y3" s="2558"/>
      <c r="Z3" s="2558"/>
      <c r="AA3" s="2559"/>
      <c r="AB3" s="2557" t="e">
        <f>INDEX(PT_DIFFERENTIATION_TER,MATCH(B3,PT_DIFFERENTIATION_TER_ID,0))</f>
        <v>#N/A</v>
      </c>
      <c r="AC3" s="2558"/>
      <c r="AD3" s="2558"/>
      <c r="AE3" s="2558"/>
      <c r="AF3" s="2558"/>
      <c r="AG3" s="2558"/>
      <c r="AH3" s="2558"/>
      <c r="AI3" s="2558"/>
      <c r="AJ3" s="2558"/>
      <c r="AK3" s="2558"/>
      <c r="AL3" s="2558"/>
      <c r="AM3" s="2558"/>
      <c r="AN3" s="2558"/>
      <c r="AO3" s="2558"/>
      <c r="AP3" s="2558"/>
      <c r="AQ3" s="2558"/>
      <c r="AR3" s="2558"/>
      <c r="AS3" s="2558"/>
      <c r="AT3" s="2559"/>
      <c r="AU3" s="1174" t="s">
        <v>397</v>
      </c>
      <c r="AW3" s="436"/>
      <c r="AX3" s="436" t="str">
        <f t="shared" si="0"/>
        <v>Территория действия тарифа</v>
      </c>
      <c r="AY3" s="436"/>
      <c r="AZ3" s="436"/>
      <c r="BA3" s="1071">
        <v>0</v>
      </c>
    </row>
    <row r="4" spans="1:53" ht="22.5" hidden="1" customHeight="1">
      <c r="A4" s="1279"/>
      <c r="B4" s="1279"/>
      <c r="C4" s="1279"/>
      <c r="D4" s="1279"/>
      <c r="E4" s="2564"/>
      <c r="F4" s="2564"/>
      <c r="G4" s="2563">
        <v>1</v>
      </c>
      <c r="H4" s="1279"/>
      <c r="I4" s="1279"/>
      <c r="J4" s="1279"/>
      <c r="K4" s="1279"/>
      <c r="L4" s="1280"/>
      <c r="M4" s="1281"/>
      <c r="N4" s="1281"/>
      <c r="O4" s="1281"/>
      <c r="P4" s="1328"/>
      <c r="Q4" s="1327"/>
      <c r="R4" s="289"/>
      <c r="S4" s="1252" t="e">
        <f>INDEX(PT_DIFFERENTIATION_NUM_CS,MATCH(C4,PT_DIFFERENTIATION_CS_ID,0))</f>
        <v>#N/A</v>
      </c>
      <c r="T4" s="246" t="s">
        <v>398</v>
      </c>
      <c r="U4" s="237"/>
      <c r="V4" s="2558"/>
      <c r="W4" s="2558"/>
      <c r="X4" s="2558"/>
      <c r="Y4" s="2558"/>
      <c r="Z4" s="2558"/>
      <c r="AA4" s="2559"/>
      <c r="AB4" s="2557" t="e">
        <f>INDEX(PT_DIFFERENTIATION_CS,MATCH(C4,PT_DIFFERENTIATION_CS_ID,0))</f>
        <v>#N/A</v>
      </c>
      <c r="AC4" s="2558"/>
      <c r="AD4" s="2558"/>
      <c r="AE4" s="2558"/>
      <c r="AF4" s="2558"/>
      <c r="AG4" s="2558"/>
      <c r="AH4" s="2558"/>
      <c r="AI4" s="2558"/>
      <c r="AJ4" s="2558"/>
      <c r="AK4" s="2558"/>
      <c r="AL4" s="2558"/>
      <c r="AM4" s="2558"/>
      <c r="AN4" s="2558"/>
      <c r="AO4" s="2558"/>
      <c r="AP4" s="2558"/>
      <c r="AQ4" s="2558"/>
      <c r="AR4" s="2558"/>
      <c r="AS4" s="2558"/>
      <c r="AT4" s="2559"/>
      <c r="AU4" s="1174" t="s">
        <v>399</v>
      </c>
      <c r="AW4" s="436"/>
      <c r="AX4" s="436" t="str">
        <f t="shared" si="0"/>
        <v xml:space="preserve">Наименование системы теплоснабжения </v>
      </c>
      <c r="AY4" s="436"/>
      <c r="AZ4" s="436"/>
      <c r="BA4" s="1071">
        <v>0</v>
      </c>
    </row>
    <row r="5" spans="1:53" ht="21" hidden="1" customHeight="1">
      <c r="A5" s="1279"/>
      <c r="B5" s="1279"/>
      <c r="C5" s="1279"/>
      <c r="D5" s="1279"/>
      <c r="E5" s="2564"/>
      <c r="F5" s="2564"/>
      <c r="G5" s="2564"/>
      <c r="H5" s="2563">
        <v>1</v>
      </c>
      <c r="I5" s="1279"/>
      <c r="J5" s="1279"/>
      <c r="K5" s="1279"/>
      <c r="L5" s="1280"/>
      <c r="M5" s="1281"/>
      <c r="N5" s="1281"/>
      <c r="O5" s="1281"/>
      <c r="P5" s="1328"/>
      <c r="Q5" s="1327"/>
      <c r="R5" s="289"/>
      <c r="S5" s="1252" t="e">
        <f>INDEX(PT_DIFFERENTIATION_NUM_IST_TE,MATCH(D5,PT_DIFFERENTIATION_IST_TE_ID,0))</f>
        <v>#N/A</v>
      </c>
      <c r="T5" s="247" t="s">
        <v>400</v>
      </c>
      <c r="U5" s="237"/>
      <c r="V5" s="2558"/>
      <c r="W5" s="2558"/>
      <c r="X5" s="2558"/>
      <c r="Y5" s="2558"/>
      <c r="Z5" s="2558"/>
      <c r="AA5" s="2559"/>
      <c r="AB5" s="2557" t="e">
        <f>INDEX(PT_DIFFERENTIATION_IST_TE,MATCH(D5,PT_DIFFERENTIATION_IST_TE_ID,0))</f>
        <v>#N/A</v>
      </c>
      <c r="AC5" s="2558"/>
      <c r="AD5" s="2558"/>
      <c r="AE5" s="2558"/>
      <c r="AF5" s="2558"/>
      <c r="AG5" s="2558"/>
      <c r="AH5" s="2558"/>
      <c r="AI5" s="2558"/>
      <c r="AJ5" s="2558"/>
      <c r="AK5" s="2558"/>
      <c r="AL5" s="2558"/>
      <c r="AM5" s="2558"/>
      <c r="AN5" s="2558"/>
      <c r="AO5" s="2558"/>
      <c r="AP5" s="2558"/>
      <c r="AQ5" s="2558"/>
      <c r="AR5" s="2558"/>
      <c r="AS5" s="2558"/>
      <c r="AT5" s="2559"/>
      <c r="AU5" s="1174" t="s">
        <v>401</v>
      </c>
      <c r="AW5" s="436"/>
      <c r="AX5" s="436" t="str">
        <f t="shared" si="0"/>
        <v xml:space="preserve">Источник тепловой энергии  </v>
      </c>
      <c r="AY5" s="436"/>
      <c r="AZ5" s="436"/>
      <c r="BA5" s="1071">
        <v>0</v>
      </c>
    </row>
    <row r="6" spans="1:53" s="2344" customFormat="1" ht="0.75" hidden="1" customHeight="1">
      <c r="A6" s="1259"/>
      <c r="B6" s="1259"/>
      <c r="C6" s="1259"/>
      <c r="D6" s="1259"/>
      <c r="E6" s="2564"/>
      <c r="F6" s="2564"/>
      <c r="G6" s="2564"/>
      <c r="H6" s="2564"/>
      <c r="I6" s="2565" t="e">
        <f>S5&amp;".1"</f>
        <v>#N/A</v>
      </c>
      <c r="J6" s="1259"/>
      <c r="K6" s="1259"/>
      <c r="L6" s="1262" t="s">
        <v>402</v>
      </c>
      <c r="M6" s="446"/>
      <c r="N6" s="446"/>
      <c r="O6" s="446"/>
      <c r="P6" s="2567">
        <v>1</v>
      </c>
      <c r="Q6" s="1247"/>
      <c r="R6" s="292"/>
      <c r="S6" s="964"/>
      <c r="T6" s="1299"/>
      <c r="U6" s="1300"/>
      <c r="V6" s="2595"/>
      <c r="W6" s="2595"/>
      <c r="X6" s="2595"/>
      <c r="Y6" s="2595"/>
      <c r="Z6" s="2595"/>
      <c r="AA6" s="2596"/>
      <c r="AB6" s="2594"/>
      <c r="AC6" s="2595"/>
      <c r="AD6" s="2595"/>
      <c r="AE6" s="2595"/>
      <c r="AF6" s="2595"/>
      <c r="AG6" s="2595"/>
      <c r="AH6" s="2595"/>
      <c r="AI6" s="2595"/>
      <c r="AJ6" s="2595"/>
      <c r="AK6" s="2595"/>
      <c r="AL6" s="2595"/>
      <c r="AM6" s="2595"/>
      <c r="AN6" s="2595"/>
      <c r="AO6" s="2595"/>
      <c r="AP6" s="2595"/>
      <c r="AQ6" s="2595"/>
      <c r="AR6" s="2595"/>
      <c r="AS6" s="2595"/>
      <c r="AT6" s="2596"/>
      <c r="AU6" s="1301"/>
      <c r="AW6" s="436"/>
      <c r="AX6" s="436" t="str">
        <f t="shared" si="0"/>
        <v/>
      </c>
      <c r="AY6" s="436"/>
      <c r="AZ6" s="436"/>
      <c r="BA6" s="447">
        <v>0</v>
      </c>
    </row>
    <row r="7" spans="1:53" s="2344" customFormat="1" ht="0.75" hidden="1" customHeight="1">
      <c r="A7" s="1259"/>
      <c r="B7" s="1259"/>
      <c r="C7" s="1259"/>
      <c r="D7" s="1259"/>
      <c r="E7" s="2564"/>
      <c r="F7" s="2564"/>
      <c r="G7" s="2564"/>
      <c r="H7" s="2564"/>
      <c r="I7" s="2566"/>
      <c r="J7" s="2565" t="e">
        <f>S5&amp;".1"</f>
        <v>#N/A</v>
      </c>
      <c r="K7" s="1259"/>
      <c r="L7" s="1262"/>
      <c r="M7" s="446"/>
      <c r="N7" s="446"/>
      <c r="O7" s="446"/>
      <c r="P7" s="2567"/>
      <c r="Q7" s="2567">
        <v>1</v>
      </c>
      <c r="R7" s="293"/>
      <c r="S7" s="964"/>
      <c r="T7" s="1315"/>
      <c r="U7" s="1300"/>
      <c r="V7" s="2595"/>
      <c r="W7" s="2595"/>
      <c r="X7" s="2595"/>
      <c r="Y7" s="2595"/>
      <c r="Z7" s="2595"/>
      <c r="AA7" s="2596"/>
      <c r="AB7" s="2594"/>
      <c r="AC7" s="2595"/>
      <c r="AD7" s="2595"/>
      <c r="AE7" s="2595"/>
      <c r="AF7" s="2595"/>
      <c r="AG7" s="2595"/>
      <c r="AH7" s="2595"/>
      <c r="AI7" s="2595"/>
      <c r="AJ7" s="2595"/>
      <c r="AK7" s="2595"/>
      <c r="AL7" s="2595"/>
      <c r="AM7" s="2595"/>
      <c r="AN7" s="2595"/>
      <c r="AO7" s="2595"/>
      <c r="AP7" s="2595"/>
      <c r="AQ7" s="2595"/>
      <c r="AR7" s="2595"/>
      <c r="AS7" s="2595"/>
      <c r="AT7" s="2596"/>
      <c r="AU7" s="1301"/>
      <c r="AW7" s="436"/>
      <c r="AX7" s="436" t="str">
        <f t="shared" si="0"/>
        <v/>
      </c>
      <c r="AY7" s="436"/>
      <c r="AZ7" s="436"/>
      <c r="BA7" s="447">
        <v>0</v>
      </c>
    </row>
    <row r="8" spans="1:53" ht="21" hidden="1" customHeight="1">
      <c r="A8" s="1279"/>
      <c r="B8" s="1279"/>
      <c r="C8" s="1279"/>
      <c r="D8" s="1279"/>
      <c r="E8" s="2564"/>
      <c r="F8" s="2564"/>
      <c r="G8" s="2564"/>
      <c r="H8" s="2564"/>
      <c r="I8" s="2566"/>
      <c r="J8" s="2566"/>
      <c r="K8" s="2565" t="e">
        <f>S5&amp;".1"</f>
        <v>#N/A</v>
      </c>
      <c r="L8" s="1280"/>
      <c r="P8" s="2567"/>
      <c r="Q8" s="2567"/>
      <c r="R8" s="2623">
        <v>1</v>
      </c>
      <c r="S8" s="2620" t="e">
        <f>$K8</f>
        <v>#N/A</v>
      </c>
      <c r="T8" s="2617"/>
      <c r="U8" s="237"/>
      <c r="V8" s="687"/>
      <c r="W8" s="1173"/>
      <c r="X8" s="2568"/>
      <c r="Y8" s="2445" t="s">
        <v>62</v>
      </c>
      <c r="Z8" s="2568"/>
      <c r="AA8" s="2445" t="s">
        <v>62</v>
      </c>
      <c r="AB8" s="2445" t="s">
        <v>19</v>
      </c>
      <c r="AC8" s="2616"/>
      <c r="AD8" s="2520">
        <v>1</v>
      </c>
      <c r="AE8" s="2630"/>
      <c r="AF8" s="2445" t="s">
        <v>19</v>
      </c>
      <c r="AG8" s="2616"/>
      <c r="AH8" s="2520">
        <v>1</v>
      </c>
      <c r="AI8" s="2630"/>
      <c r="AJ8" s="2445" t="s">
        <v>19</v>
      </c>
      <c r="AK8" s="248"/>
      <c r="AL8" s="1253">
        <v>1</v>
      </c>
      <c r="AM8" s="1314"/>
      <c r="AN8" s="687"/>
      <c r="AO8" s="1173"/>
      <c r="AP8" s="1649"/>
      <c r="AQ8" s="1375" t="s">
        <v>62</v>
      </c>
      <c r="AR8" s="1649"/>
      <c r="AS8" s="1375" t="s">
        <v>62</v>
      </c>
      <c r="AT8" s="1264"/>
      <c r="AU8" s="2586" t="s">
        <v>463</v>
      </c>
      <c r="AV8" s="447" t="e">
        <f ca="1">STRCHECKDATE(V11:AT11)</f>
        <v>#NAME?</v>
      </c>
      <c r="AW8" s="436"/>
      <c r="AX8" s="436" t="str">
        <f t="shared" si="0"/>
        <v/>
      </c>
      <c r="AY8" s="436"/>
      <c r="AZ8" s="436"/>
      <c r="BA8" s="1071">
        <v>0</v>
      </c>
    </row>
    <row r="9" spans="1:53" ht="11.25" hidden="1" customHeight="1">
      <c r="A9" s="1279"/>
      <c r="B9" s="1279"/>
      <c r="C9" s="1279"/>
      <c r="D9" s="1279"/>
      <c r="E9" s="2564"/>
      <c r="F9" s="2564"/>
      <c r="G9" s="2564"/>
      <c r="H9" s="2564"/>
      <c r="I9" s="2566"/>
      <c r="J9" s="2566"/>
      <c r="K9" s="2565"/>
      <c r="L9" s="1280"/>
      <c r="P9" s="2567"/>
      <c r="Q9" s="2567"/>
      <c r="R9" s="2623"/>
      <c r="S9" s="2621"/>
      <c r="T9" s="2618"/>
      <c r="U9" s="237"/>
      <c r="V9" s="1309"/>
      <c r="W9" s="1313"/>
      <c r="X9" s="2568"/>
      <c r="Y9" s="2445"/>
      <c r="Z9" s="2568"/>
      <c r="AA9" s="2445"/>
      <c r="AB9" s="2445"/>
      <c r="AC9" s="2616"/>
      <c r="AD9" s="2520"/>
      <c r="AE9" s="2630"/>
      <c r="AF9" s="2445"/>
      <c r="AG9" s="2616"/>
      <c r="AH9" s="2520"/>
      <c r="AI9" s="2630"/>
      <c r="AJ9" s="2445"/>
      <c r="AK9" s="253"/>
      <c r="AL9" s="352"/>
      <c r="AM9" s="351" t="s">
        <v>464</v>
      </c>
      <c r="AN9" s="1309"/>
      <c r="AO9" s="1412"/>
      <c r="AP9" s="1309"/>
      <c r="AQ9" s="1309"/>
      <c r="AR9" s="1309"/>
      <c r="AS9" s="1309"/>
      <c r="AT9" s="1306"/>
      <c r="AU9" s="2587"/>
      <c r="AW9" s="436"/>
      <c r="AX9" s="436"/>
      <c r="AY9" s="436"/>
      <c r="AZ9" s="436"/>
      <c r="BA9" s="1071">
        <v>0</v>
      </c>
    </row>
    <row r="10" spans="1:53" ht="11.25" hidden="1" customHeight="1">
      <c r="A10" s="1279"/>
      <c r="B10" s="1279"/>
      <c r="C10" s="1279"/>
      <c r="D10" s="1279"/>
      <c r="E10" s="2564"/>
      <c r="F10" s="2564"/>
      <c r="G10" s="2564"/>
      <c r="H10" s="2564"/>
      <c r="I10" s="2566"/>
      <c r="J10" s="2566"/>
      <c r="K10" s="2565"/>
      <c r="L10" s="1280"/>
      <c r="P10" s="2567"/>
      <c r="Q10" s="2567"/>
      <c r="R10" s="2623"/>
      <c r="S10" s="2621"/>
      <c r="T10" s="2618"/>
      <c r="U10" s="237"/>
      <c r="V10" s="1309"/>
      <c r="W10" s="1313"/>
      <c r="X10" s="2568"/>
      <c r="Y10" s="2445"/>
      <c r="Z10" s="2568"/>
      <c r="AA10" s="2445"/>
      <c r="AB10" s="2445"/>
      <c r="AC10" s="2616"/>
      <c r="AD10" s="2520"/>
      <c r="AE10" s="2630"/>
      <c r="AF10" s="2445"/>
      <c r="AG10" s="231"/>
      <c r="AH10" s="351"/>
      <c r="AI10" s="351" t="s">
        <v>465</v>
      </c>
      <c r="AJ10" s="1309"/>
      <c r="AK10" s="1309"/>
      <c r="AL10" s="1309"/>
      <c r="AM10" s="1309"/>
      <c r="AN10" s="1309"/>
      <c r="AO10" s="1412"/>
      <c r="AP10" s="1309"/>
      <c r="AQ10" s="1309"/>
      <c r="AR10" s="1309"/>
      <c r="AS10" s="1309"/>
      <c r="AT10" s="1306"/>
      <c r="AU10" s="2587"/>
      <c r="AW10" s="436"/>
      <c r="AX10" s="436"/>
      <c r="AY10" s="436"/>
      <c r="AZ10" s="436"/>
      <c r="BA10" s="1071">
        <v>0</v>
      </c>
    </row>
    <row r="11" spans="1:53" ht="11.25" hidden="1" customHeight="1">
      <c r="A11" s="1279"/>
      <c r="B11" s="1279"/>
      <c r="C11" s="1279"/>
      <c r="D11" s="1279"/>
      <c r="E11" s="2564"/>
      <c r="F11" s="2564"/>
      <c r="G11" s="2564"/>
      <c r="H11" s="2564"/>
      <c r="I11" s="2566"/>
      <c r="J11" s="2566"/>
      <c r="K11" s="2565"/>
      <c r="L11" s="1280"/>
      <c r="P11" s="2567"/>
      <c r="Q11" s="2567"/>
      <c r="R11" s="2623"/>
      <c r="S11" s="2622"/>
      <c r="T11" s="2619"/>
      <c r="U11" s="237"/>
      <c r="V11" s="1309"/>
      <c r="W11" s="1312" t="str">
        <f>X8&amp;"-"&amp;Z8</f>
        <v>-</v>
      </c>
      <c r="X11" s="2569"/>
      <c r="Y11" s="2445"/>
      <c r="Z11" s="2569"/>
      <c r="AA11" s="2445"/>
      <c r="AB11" s="2445"/>
      <c r="AC11" s="249"/>
      <c r="AD11" s="251"/>
      <c r="AE11" s="351" t="s">
        <v>466</v>
      </c>
      <c r="AF11" s="1309"/>
      <c r="AG11" s="1309"/>
      <c r="AH11" s="1309"/>
      <c r="AI11" s="1309"/>
      <c r="AJ11" s="1309"/>
      <c r="AK11" s="1309"/>
      <c r="AL11" s="1309"/>
      <c r="AM11" s="1309"/>
      <c r="AN11" s="1309"/>
      <c r="AO11" s="1310" t="str">
        <f>AP8&amp;"-"&amp;AR8</f>
        <v>-</v>
      </c>
      <c r="AP11" s="1309"/>
      <c r="AQ11" s="1309"/>
      <c r="AR11" s="1309"/>
      <c r="AS11" s="1309"/>
      <c r="AT11" s="1265"/>
      <c r="AU11" s="2587"/>
      <c r="AW11" s="436"/>
      <c r="AX11" s="436" t="str">
        <f t="shared" ref="AX11:AX17" si="1">IF(T11="","",T11)</f>
        <v/>
      </c>
      <c r="AY11" s="436"/>
      <c r="AZ11" s="436"/>
      <c r="BA11" s="1071">
        <v>0</v>
      </c>
    </row>
    <row r="12" spans="1:53" ht="11.25" hidden="1" customHeight="1">
      <c r="A12" s="1279"/>
      <c r="B12" s="1279"/>
      <c r="C12" s="1279"/>
      <c r="D12" s="1279"/>
      <c r="E12" s="2564"/>
      <c r="F12" s="2564"/>
      <c r="G12" s="2564"/>
      <c r="H12" s="2564"/>
      <c r="I12" s="2566"/>
      <c r="J12" s="2565"/>
      <c r="K12" s="1279"/>
      <c r="L12" s="1280"/>
      <c r="P12" s="2567"/>
      <c r="Q12" s="2567"/>
      <c r="R12" s="292"/>
      <c r="S12" s="119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88"/>
      <c r="AW12" s="436"/>
      <c r="AX12" s="436" t="str">
        <f t="shared" si="1"/>
        <v>Добавить строку</v>
      </c>
      <c r="AY12" s="436"/>
      <c r="AZ12" s="436"/>
      <c r="BA12" s="1071">
        <v>0</v>
      </c>
    </row>
    <row r="13" spans="1:53" s="2344" customFormat="1" ht="0.75" hidden="1" customHeight="1">
      <c r="A13" s="1259"/>
      <c r="B13" s="1259"/>
      <c r="C13" s="1259"/>
      <c r="D13" s="1259"/>
      <c r="E13" s="2564"/>
      <c r="F13" s="2564"/>
      <c r="G13" s="2564"/>
      <c r="H13" s="2564"/>
      <c r="I13" s="2565"/>
      <c r="J13" s="1259"/>
      <c r="K13" s="1259"/>
      <c r="L13" s="1262"/>
      <c r="M13" s="446"/>
      <c r="N13" s="446"/>
      <c r="O13" s="446"/>
      <c r="P13" s="2567"/>
      <c r="Q13" s="1247"/>
      <c r="R13" s="292"/>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36"/>
      <c r="AX13" s="436" t="str">
        <f t="shared" si="1"/>
        <v/>
      </c>
      <c r="AY13" s="436"/>
      <c r="AZ13" s="436"/>
      <c r="BA13" s="447">
        <v>0</v>
      </c>
    </row>
    <row r="14" spans="1:53" s="2344" customFormat="1" ht="0.75" hidden="1" customHeight="1">
      <c r="A14" s="1259"/>
      <c r="B14" s="1259"/>
      <c r="C14" s="1259"/>
      <c r="D14" s="1259"/>
      <c r="E14" s="2564"/>
      <c r="F14" s="2564"/>
      <c r="G14" s="2564"/>
      <c r="H14" s="2563"/>
      <c r="I14" s="1259"/>
      <c r="J14" s="1259"/>
      <c r="K14" s="1259"/>
      <c r="L14" s="1262"/>
      <c r="M14" s="1231"/>
      <c r="N14" s="1231"/>
      <c r="O14" s="454"/>
      <c r="P14" s="316"/>
      <c r="Q14" s="1260"/>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36"/>
      <c r="AX14" s="436" t="str">
        <f t="shared" si="1"/>
        <v/>
      </c>
      <c r="AY14" s="436"/>
      <c r="AZ14" s="436"/>
      <c r="BA14" s="447">
        <v>0</v>
      </c>
    </row>
    <row r="15" spans="1:53" s="2344" customFormat="1" ht="0.75" hidden="1" customHeight="1">
      <c r="A15" s="1259"/>
      <c r="B15" s="1259"/>
      <c r="C15" s="1259"/>
      <c r="D15" s="1230"/>
      <c r="E15" s="2564"/>
      <c r="F15" s="2564"/>
      <c r="G15" s="2563"/>
      <c r="H15" s="1230"/>
      <c r="I15" s="1230"/>
      <c r="J15" s="1230"/>
      <c r="K15" s="1230"/>
      <c r="L15" s="1255"/>
      <c r="M15" s="1231"/>
      <c r="N15" s="1231"/>
      <c r="P15" s="1232"/>
      <c r="Q15" s="1233"/>
      <c r="R15" s="1232"/>
      <c r="S15" s="1238"/>
      <c r="T15" s="1241" t="s">
        <v>413</v>
      </c>
      <c r="U15" s="1240"/>
      <c r="V15" s="1240"/>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R15" s="1240"/>
      <c r="AS15" s="1240"/>
      <c r="AT15" s="1240"/>
      <c r="AU15" s="1240"/>
      <c r="AW15" s="719"/>
      <c r="AX15" s="719" t="str">
        <f t="shared" si="1"/>
        <v>Добавить источник для дифференциации</v>
      </c>
      <c r="AY15" s="719"/>
      <c r="AZ15" s="719"/>
      <c r="BA15" s="454">
        <v>0</v>
      </c>
    </row>
    <row r="16" spans="1:53" s="2344" customFormat="1" ht="0.75" hidden="1" customHeight="1">
      <c r="A16" s="1259"/>
      <c r="B16" s="1259"/>
      <c r="C16" s="1230"/>
      <c r="D16" s="1230"/>
      <c r="E16" s="2564"/>
      <c r="F16" s="2563"/>
      <c r="G16" s="1230"/>
      <c r="H16" s="1230"/>
      <c r="I16" s="1230"/>
      <c r="J16" s="1230"/>
      <c r="K16" s="1230"/>
      <c r="L16" s="1255"/>
      <c r="M16" s="1237"/>
      <c r="N16" s="1237"/>
      <c r="P16" s="1232"/>
      <c r="Q16" s="1233"/>
      <c r="R16" s="1232"/>
      <c r="S16" s="1238"/>
      <c r="T16" s="1241" t="s">
        <v>414</v>
      </c>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W16" s="719"/>
      <c r="AX16" s="719" t="str">
        <f t="shared" si="1"/>
        <v>Добавить централизованную систему для дифференциации</v>
      </c>
      <c r="AY16" s="719"/>
      <c r="AZ16" s="719"/>
      <c r="BA16" s="454">
        <v>0</v>
      </c>
    </row>
    <row r="17" spans="1:53" s="2344" customFormat="1" ht="0.75" hidden="1" customHeight="1">
      <c r="A17" s="1259"/>
      <c r="B17" s="1259"/>
      <c r="C17" s="1259"/>
      <c r="D17" s="1259"/>
      <c r="E17" s="2563"/>
      <c r="F17" s="1259"/>
      <c r="G17" s="1259"/>
      <c r="H17" s="1259"/>
      <c r="I17" s="1259"/>
      <c r="J17" s="1259"/>
      <c r="K17" s="1259"/>
      <c r="L17" s="1262"/>
      <c r="M17" s="1237"/>
      <c r="N17" s="1237"/>
      <c r="O17" s="454"/>
      <c r="P17" s="316"/>
      <c r="Q17" s="1260"/>
      <c r="R17" s="316"/>
      <c r="S17" s="1238"/>
      <c r="T17" s="1241" t="s">
        <v>415</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W17" s="436"/>
      <c r="AX17" s="436" t="str">
        <f t="shared" si="1"/>
        <v>Добавить территорию для дифференциации</v>
      </c>
      <c r="AY17" s="436"/>
      <c r="AZ17" s="436"/>
      <c r="BA17" s="447">
        <v>0</v>
      </c>
    </row>
    <row r="18" spans="1:53" ht="14.25" hidden="1" customHeight="1">
      <c r="AA18" s="264"/>
      <c r="AS18" s="264"/>
      <c r="BA18" s="1071">
        <v>0</v>
      </c>
    </row>
    <row r="19" spans="1:53" ht="14.25" hidden="1" customHeight="1">
      <c r="AB19" s="1240" t="s">
        <v>19</v>
      </c>
      <c r="AC19" s="1417"/>
      <c r="AD19" s="484">
        <v>1</v>
      </c>
      <c r="AE19" s="1418"/>
      <c r="AF19" s="1240" t="s">
        <v>19</v>
      </c>
      <c r="AG19" s="1417"/>
      <c r="AH19" s="484">
        <v>1</v>
      </c>
      <c r="AI19" s="1418"/>
      <c r="AJ19" s="1240" t="s">
        <v>19</v>
      </c>
      <c r="AK19" s="1419"/>
      <c r="AL19" s="484">
        <v>1</v>
      </c>
      <c r="AM19" s="1422"/>
      <c r="AN19" s="1319"/>
      <c r="AO19" s="1320"/>
      <c r="AP19" s="1651"/>
      <c r="AQ19" s="1376" t="s">
        <v>62</v>
      </c>
      <c r="AR19" s="1651"/>
      <c r="AS19" s="1376" t="s">
        <v>62</v>
      </c>
      <c r="BA19" s="1071">
        <v>0</v>
      </c>
    </row>
    <row r="20" spans="1:53" ht="14.25" hidden="1" customHeight="1">
      <c r="AV20" s="432"/>
      <c r="AW20" s="432"/>
      <c r="AX20" s="432"/>
      <c r="AY20" s="432"/>
      <c r="AZ20" s="432"/>
      <c r="BA20" s="1071">
        <v>0</v>
      </c>
    </row>
    <row r="21" spans="1:53" ht="14.25" hidden="1" customHeight="1">
      <c r="O21" s="1283" t="s">
        <v>416</v>
      </c>
      <c r="X21" s="1261"/>
      <c r="Z21" s="1261"/>
      <c r="AA21" s="264"/>
      <c r="AP21" s="1261"/>
      <c r="AR21" s="1261"/>
      <c r="AS21" s="264"/>
      <c r="AV21" s="432"/>
      <c r="AW21" s="432"/>
      <c r="AX21" s="432"/>
      <c r="AY21" s="432"/>
      <c r="AZ21" s="432"/>
      <c r="BA21" s="1071">
        <v>0</v>
      </c>
    </row>
    <row r="22" spans="1:53" ht="14.25" hidden="1" customHeight="1">
      <c r="AA22" s="264"/>
      <c r="AS22" s="264"/>
      <c r="AV22" s="432"/>
      <c r="AW22" s="432"/>
      <c r="AX22" s="432"/>
      <c r="AY22" s="432"/>
      <c r="AZ22" s="432"/>
      <c r="BA22" s="1071">
        <v>0</v>
      </c>
    </row>
    <row r="23" spans="1:53" s="2338" customFormat="1" ht="14.25" hidden="1" customHeight="1">
      <c r="M23" s="1424"/>
      <c r="N23" s="1424"/>
      <c r="O23" s="1425" t="s">
        <v>417</v>
      </c>
      <c r="P23" s="1424"/>
      <c r="Q23" s="1426"/>
      <c r="R23" s="1426"/>
      <c r="Y23" s="1423" t="s">
        <v>419</v>
      </c>
      <c r="AA23" s="1423" t="s">
        <v>420</v>
      </c>
      <c r="AB23" s="1423" t="s">
        <v>468</v>
      </c>
      <c r="AE23" s="1423" t="s">
        <v>469</v>
      </c>
      <c r="AF23" s="1423" t="s">
        <v>468</v>
      </c>
      <c r="AI23" s="1423" t="s">
        <v>470</v>
      </c>
      <c r="AJ23" s="1423" t="s">
        <v>468</v>
      </c>
      <c r="AM23" s="1423" t="s">
        <v>471</v>
      </c>
      <c r="AQ23" s="1423" t="s">
        <v>419</v>
      </c>
      <c r="AS23" s="1423" t="s">
        <v>420</v>
      </c>
      <c r="AV23" s="1427"/>
      <c r="AW23" s="1427"/>
      <c r="AX23" s="1427"/>
      <c r="AY23" s="1427"/>
      <c r="AZ23" s="1427"/>
      <c r="BA23" s="1423">
        <v>0</v>
      </c>
    </row>
    <row r="24" spans="1:53" ht="14.25" hidden="1" customHeight="1">
      <c r="O24" s="1280"/>
      <c r="AV24" s="432"/>
      <c r="AW24" s="432"/>
      <c r="AX24" s="432"/>
      <c r="AY24" s="432"/>
      <c r="AZ24" s="432"/>
      <c r="BA24" s="1071">
        <v>0</v>
      </c>
    </row>
    <row r="25" spans="1:53" ht="14.25" hidden="1" customHeight="1">
      <c r="O25" s="1280"/>
      <c r="AV25" s="432"/>
      <c r="AW25" s="432"/>
      <c r="AX25" s="432"/>
      <c r="AY25" s="432"/>
      <c r="AZ25" s="432"/>
      <c r="BA25" s="1071">
        <v>0</v>
      </c>
    </row>
    <row r="26" spans="1:53" ht="14.65" customHeight="1">
      <c r="Q26" s="228"/>
      <c r="R26" s="312"/>
      <c r="S26" s="119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1">
        <v>14</v>
      </c>
    </row>
    <row r="27" spans="1:53" ht="27.4" customHeight="1">
      <c r="Q27" s="228"/>
      <c r="R27" s="312"/>
      <c r="S27" s="25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44"/>
      <c r="AO27" s="2544"/>
      <c r="AP27" s="2544"/>
      <c r="AQ27" s="2544"/>
      <c r="AR27" s="2544"/>
      <c r="AS27" s="1159"/>
      <c r="BA27" s="1071">
        <v>26</v>
      </c>
    </row>
    <row r="28" spans="1:53" ht="14.65" customHeight="1">
      <c r="Q28" s="228"/>
      <c r="R28" s="312"/>
      <c r="S28" s="2516" t="str">
        <f>IF(org=0,"Не определено",org)</f>
        <v>ООО "Пятигорсктеплосервис"</v>
      </c>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c r="AS28" s="1159"/>
      <c r="BA28" s="1071">
        <v>14</v>
      </c>
    </row>
    <row r="29" spans="1:53" ht="14.25" hidden="1" customHeight="1">
      <c r="Q29" s="228"/>
      <c r="R29" s="312"/>
      <c r="S29" s="119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1">
        <v>0</v>
      </c>
    </row>
    <row r="30" spans="1:53" s="2380" customFormat="1" ht="25.5" hidden="1" customHeight="1">
      <c r="A30" s="1284"/>
      <c r="B30" s="1284"/>
      <c r="C30" s="1284"/>
      <c r="D30" s="1284"/>
      <c r="E30" s="1284"/>
      <c r="F30" s="1284"/>
      <c r="G30" s="1284"/>
      <c r="H30" s="1284"/>
      <c r="I30" s="1284"/>
      <c r="J30" s="1284"/>
      <c r="K30" s="1284"/>
      <c r="L30" s="1285"/>
      <c r="M30" s="1284"/>
      <c r="N30" s="1284"/>
      <c r="O30" s="1284"/>
      <c r="P30" s="1284"/>
      <c r="Q30" s="1284"/>
      <c r="S30" s="2554" t="s">
        <v>41</v>
      </c>
      <c r="T30" s="2554"/>
      <c r="U30" s="1288"/>
      <c r="V30" s="2556" t="str">
        <f>IF(TITLE_NAME_OR_PR_CHANGE="",IF(TITLE_NAME_OR_PR="","",TITLE_NAME_OR_PR),TITLE_NAME_OR_PR_CHANGE)</f>
        <v/>
      </c>
      <c r="W30" s="2556"/>
      <c r="X30" s="2556"/>
      <c r="Y30" s="2556"/>
      <c r="Z30" s="2556"/>
      <c r="AA30" s="263"/>
      <c r="AB30" s="2556" t="str">
        <f>IF(TITLE_NAME_OR_PR_CHANGE="",IF(TITLE_NAME_OR_PR="","",TITLE_NAME_OR_PR),TITLE_NAME_OR_PR_CHANGE)</f>
        <v/>
      </c>
      <c r="AC30" s="2556"/>
      <c r="AD30" s="2556"/>
      <c r="AE30" s="2556"/>
      <c r="AF30" s="2556"/>
      <c r="AG30" s="2556"/>
      <c r="AH30" s="2556"/>
      <c r="AI30" s="2556"/>
      <c r="AJ30" s="2556"/>
      <c r="AK30" s="2556"/>
      <c r="AL30" s="2556"/>
      <c r="AM30" s="2556"/>
      <c r="AN30" s="2556"/>
      <c r="AO30" s="2556"/>
      <c r="AP30" s="2556"/>
      <c r="AQ30" s="2556"/>
      <c r="AR30" s="2556"/>
      <c r="AS30" s="263"/>
      <c r="AT30" s="263"/>
      <c r="AU30" s="217"/>
      <c r="AV30" s="304"/>
      <c r="AW30" s="304"/>
      <c r="AX30" s="304"/>
      <c r="AY30" s="304"/>
      <c r="AZ30" s="304"/>
      <c r="BA30" s="354">
        <v>0</v>
      </c>
    </row>
    <row r="31" spans="1:53" s="2380" customFormat="1" ht="18.75" hidden="1" customHeight="1">
      <c r="A31" s="1284"/>
      <c r="B31" s="1284"/>
      <c r="C31" s="1284"/>
      <c r="D31" s="1284"/>
      <c r="E31" s="1284"/>
      <c r="F31" s="1284"/>
      <c r="G31" s="1284"/>
      <c r="H31" s="1284"/>
      <c r="I31" s="1284"/>
      <c r="J31" s="1284"/>
      <c r="K31" s="1284"/>
      <c r="L31" s="1285"/>
      <c r="M31" s="1284"/>
      <c r="N31" s="1284"/>
      <c r="O31" s="1284"/>
      <c r="P31" s="1284"/>
      <c r="Q31" s="1284"/>
      <c r="S31" s="2554" t="s">
        <v>422</v>
      </c>
      <c r="T31" s="2554"/>
      <c r="U31" s="1288"/>
      <c r="V31" s="2555" t="str">
        <f>IF(TITLE_DATE_PR_CHANGE="",IF(TITLE_DATE_PR="","",TITLE_DATE_PR),TITLE_DATE_PR_CHANGE)</f>
        <v/>
      </c>
      <c r="W31" s="2555"/>
      <c r="X31" s="2555"/>
      <c r="Y31" s="2555"/>
      <c r="Z31" s="2555"/>
      <c r="AA31" s="263"/>
      <c r="AB31" s="2555" t="str">
        <f>IF(TITLE_DATE_PR_CHANGE="",IF(TITLE_DATE_PR="","",TITLE_DATE_PR),TITLE_DATE_PR_CHANGE)</f>
        <v/>
      </c>
      <c r="AC31" s="2555"/>
      <c r="AD31" s="2555"/>
      <c r="AE31" s="2555"/>
      <c r="AF31" s="2555"/>
      <c r="AG31" s="2555"/>
      <c r="AH31" s="2555"/>
      <c r="AI31" s="2555"/>
      <c r="AJ31" s="2555"/>
      <c r="AK31" s="2555"/>
      <c r="AL31" s="2555"/>
      <c r="AM31" s="2555"/>
      <c r="AN31" s="2555"/>
      <c r="AO31" s="2555"/>
      <c r="AP31" s="2555"/>
      <c r="AQ31" s="2555"/>
      <c r="AR31" s="2555"/>
      <c r="AS31" s="263"/>
      <c r="AT31" s="263"/>
      <c r="AU31" s="217"/>
      <c r="AV31" s="304"/>
      <c r="AW31" s="304"/>
      <c r="AX31" s="304"/>
      <c r="AY31" s="304"/>
      <c r="AZ31" s="304"/>
      <c r="BA31" s="354">
        <v>0</v>
      </c>
    </row>
    <row r="32" spans="1:53" s="2380" customFormat="1" ht="18.75" hidden="1" customHeight="1">
      <c r="A32" s="1284"/>
      <c r="B32" s="1284"/>
      <c r="C32" s="1284"/>
      <c r="D32" s="1284"/>
      <c r="E32" s="1284"/>
      <c r="F32" s="1284"/>
      <c r="G32" s="1284"/>
      <c r="H32" s="1284"/>
      <c r="I32" s="1284"/>
      <c r="J32" s="1284"/>
      <c r="K32" s="1284"/>
      <c r="L32" s="1285"/>
      <c r="M32" s="1284"/>
      <c r="N32" s="1284"/>
      <c r="O32" s="1284"/>
      <c r="P32" s="1284"/>
      <c r="Q32" s="1284"/>
      <c r="S32" s="2554" t="s">
        <v>423</v>
      </c>
      <c r="T32" s="2554"/>
      <c r="U32" s="1288"/>
      <c r="V32" s="2556" t="str">
        <f>IF(TITLE_NUMBER_PR_CHANGE="",IF(TITLE_NUMBER_PR="","",TITLE_NUMBER_PR),TITLE_NUMBER_PR_CHANGE)</f>
        <v/>
      </c>
      <c r="W32" s="2556"/>
      <c r="X32" s="2556"/>
      <c r="Y32" s="2556"/>
      <c r="Z32" s="2556"/>
      <c r="AA32" s="263"/>
      <c r="AB32" s="2556" t="str">
        <f>IF(TITLE_NUMBER_PR_CHANGE="",IF(TITLE_NUMBER_PR="","",TITLE_NUMBER_PR),TITLE_NUMBER_PR_CHANGE)</f>
        <v/>
      </c>
      <c r="AC32" s="2556"/>
      <c r="AD32" s="2556"/>
      <c r="AE32" s="2556"/>
      <c r="AF32" s="2556"/>
      <c r="AG32" s="2556"/>
      <c r="AH32" s="2556"/>
      <c r="AI32" s="2556"/>
      <c r="AJ32" s="2556"/>
      <c r="AK32" s="2556"/>
      <c r="AL32" s="2556"/>
      <c r="AM32" s="2556"/>
      <c r="AN32" s="2556"/>
      <c r="AO32" s="2556"/>
      <c r="AP32" s="2556"/>
      <c r="AQ32" s="2556"/>
      <c r="AR32" s="2556"/>
      <c r="AS32" s="263"/>
      <c r="AT32" s="263"/>
      <c r="AU32" s="217"/>
      <c r="AV32" s="304"/>
      <c r="AW32" s="304"/>
      <c r="AX32" s="304"/>
      <c r="AY32" s="304"/>
      <c r="AZ32" s="304"/>
      <c r="BA32" s="354">
        <v>0</v>
      </c>
    </row>
    <row r="33" spans="1:53" s="2380" customFormat="1" ht="18.75" hidden="1" customHeight="1">
      <c r="A33" s="1284"/>
      <c r="B33" s="1284"/>
      <c r="C33" s="1284"/>
      <c r="D33" s="1284"/>
      <c r="E33" s="1284"/>
      <c r="F33" s="1284"/>
      <c r="G33" s="1284"/>
      <c r="H33" s="1284"/>
      <c r="I33" s="1284"/>
      <c r="J33" s="1284"/>
      <c r="K33" s="1284"/>
      <c r="L33" s="1285"/>
      <c r="M33" s="1284"/>
      <c r="N33" s="1284"/>
      <c r="O33" s="1284"/>
      <c r="P33" s="1284"/>
      <c r="Q33" s="1284"/>
      <c r="S33" s="2554" t="s">
        <v>42</v>
      </c>
      <c r="T33" s="2554"/>
      <c r="U33" s="1288"/>
      <c r="V33" s="2556" t="str">
        <f>IF(TITLE_IST_PUB_CHANGE="",IF(TITLE_IST_PUB="","",TITLE_IST_PUB),TITLE_IST_PUB_CHANGE)</f>
        <v/>
      </c>
      <c r="W33" s="2556"/>
      <c r="X33" s="2556"/>
      <c r="Y33" s="2556"/>
      <c r="Z33" s="2556"/>
      <c r="AA33" s="263"/>
      <c r="AB33" s="2556" t="str">
        <f>IF(TITLE_IST_PUB_CHANGE="",IF(TITLE_IST_PUB="","",TITLE_IST_PUB),TITLE_IST_PUB_CHANGE)</f>
        <v/>
      </c>
      <c r="AC33" s="2556"/>
      <c r="AD33" s="2556"/>
      <c r="AE33" s="2556"/>
      <c r="AF33" s="2556"/>
      <c r="AG33" s="2556"/>
      <c r="AH33" s="2556"/>
      <c r="AI33" s="2556"/>
      <c r="AJ33" s="2556"/>
      <c r="AK33" s="2556"/>
      <c r="AL33" s="2556"/>
      <c r="AM33" s="2556"/>
      <c r="AN33" s="2556"/>
      <c r="AO33" s="2556"/>
      <c r="AP33" s="2556"/>
      <c r="AQ33" s="2556"/>
      <c r="AR33" s="2556"/>
      <c r="AS33" s="263"/>
      <c r="AT33" s="263"/>
      <c r="AU33" s="217"/>
      <c r="AV33" s="304"/>
      <c r="AW33" s="304"/>
      <c r="AX33" s="304"/>
      <c r="AY33" s="304"/>
      <c r="AZ33" s="304"/>
      <c r="BA33" s="354">
        <v>0</v>
      </c>
    </row>
    <row r="34" spans="1:53" ht="14.25" hidden="1" customHeight="1">
      <c r="Q34" s="228"/>
      <c r="R34" s="312"/>
      <c r="S34" s="119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1">
        <v>0</v>
      </c>
    </row>
    <row r="35" spans="1:53" s="2380" customFormat="1" ht="18.75" hidden="1" customHeight="1">
      <c r="A35" s="1284"/>
      <c r="B35" s="1284"/>
      <c r="C35" s="1284"/>
      <c r="D35" s="1284"/>
      <c r="E35" s="1284"/>
      <c r="F35" s="1284"/>
      <c r="G35" s="1284"/>
      <c r="H35" s="1284"/>
      <c r="I35" s="1284"/>
      <c r="J35" s="1284"/>
      <c r="K35" s="1284"/>
      <c r="L35" s="1285"/>
      <c r="M35" s="1284"/>
      <c r="N35" s="1284"/>
      <c r="O35" s="1284"/>
      <c r="P35" s="1284"/>
      <c r="Q35" s="1284"/>
      <c r="S35" s="2554" t="s">
        <v>422</v>
      </c>
      <c r="T35" s="2554"/>
      <c r="U35" s="1288"/>
      <c r="V35" s="2555" t="str">
        <f>IF(TITLE_DATE_PR_CHANGE="",IF(TITLE_DATE_PR="","",TITLE_DATE_PR),TITLE_DATE_PR_CHANGE)</f>
        <v/>
      </c>
      <c r="W35" s="2555"/>
      <c r="X35" s="2555"/>
      <c r="Y35" s="2555"/>
      <c r="Z35" s="2555"/>
      <c r="AA35" s="263"/>
      <c r="AB35" s="2555" t="str">
        <f>IF(TITLE_DATE_PR_CHANGE="",IF(TITLE_DATE_PR="","",TITLE_DATE_PR),TITLE_DATE_PR_CHANGE)</f>
        <v/>
      </c>
      <c r="AC35" s="2555"/>
      <c r="AD35" s="2555"/>
      <c r="AE35" s="2555"/>
      <c r="AF35" s="2555"/>
      <c r="AG35" s="2555"/>
      <c r="AH35" s="2555"/>
      <c r="AI35" s="2555"/>
      <c r="AJ35" s="2555"/>
      <c r="AK35" s="2555"/>
      <c r="AL35" s="2555"/>
      <c r="AM35" s="2555"/>
      <c r="AN35" s="2555"/>
      <c r="AO35" s="2555"/>
      <c r="AP35" s="2555"/>
      <c r="AQ35" s="2555"/>
      <c r="AR35" s="2555"/>
      <c r="AS35" s="263"/>
      <c r="AT35" s="263"/>
      <c r="AU35" s="217"/>
      <c r="AV35" s="304"/>
      <c r="AW35" s="304"/>
      <c r="AX35" s="304"/>
      <c r="AY35" s="304"/>
      <c r="AZ35" s="304"/>
      <c r="BA35" s="354">
        <v>0</v>
      </c>
    </row>
    <row r="36" spans="1:53" s="2380" customFormat="1" ht="18" hidden="1" customHeight="1">
      <c r="A36" s="1284"/>
      <c r="B36" s="1284"/>
      <c r="C36" s="1284"/>
      <c r="D36" s="1284"/>
      <c r="E36" s="1284"/>
      <c r="F36" s="1284"/>
      <c r="G36" s="1284"/>
      <c r="H36" s="1284"/>
      <c r="I36" s="1284"/>
      <c r="J36" s="1284"/>
      <c r="K36" s="1284"/>
      <c r="L36" s="1285"/>
      <c r="M36" s="1284"/>
      <c r="N36" s="1284"/>
      <c r="O36" s="1284"/>
      <c r="P36" s="1284"/>
      <c r="Q36" s="1284"/>
      <c r="S36" s="2554" t="s">
        <v>423</v>
      </c>
      <c r="T36" s="2554"/>
      <c r="U36" s="1288"/>
      <c r="V36" s="2556" t="str">
        <f>IF(TITLE_NUMBER_PR_CHANGE="",IF(TITLE_NUMBER_PR="","",TITLE_NUMBER_PR),TITLE_NUMBER_PR_CHANGE)</f>
        <v/>
      </c>
      <c r="W36" s="2556"/>
      <c r="X36" s="2556"/>
      <c r="Y36" s="2556"/>
      <c r="Z36" s="2556"/>
      <c r="AA36" s="263"/>
      <c r="AB36" s="2556" t="str">
        <f>IF(TITLE_NUMBER_PR_CHANGE="",IF(TITLE_NUMBER_PR="","",TITLE_NUMBER_PR),TITLE_NUMBER_PR_CHANGE)</f>
        <v/>
      </c>
      <c r="AC36" s="2556"/>
      <c r="AD36" s="2556"/>
      <c r="AE36" s="2556"/>
      <c r="AF36" s="2556"/>
      <c r="AG36" s="2556"/>
      <c r="AH36" s="2556"/>
      <c r="AI36" s="2556"/>
      <c r="AJ36" s="2556"/>
      <c r="AK36" s="2556"/>
      <c r="AL36" s="2556"/>
      <c r="AM36" s="2556"/>
      <c r="AN36" s="2556"/>
      <c r="AO36" s="2556"/>
      <c r="AP36" s="2556"/>
      <c r="AQ36" s="2556"/>
      <c r="AR36" s="2556"/>
      <c r="AS36" s="263"/>
      <c r="AT36" s="263"/>
      <c r="AU36" s="217"/>
      <c r="AV36" s="304"/>
      <c r="AW36" s="304"/>
      <c r="AX36" s="304"/>
      <c r="AY36" s="304"/>
      <c r="AZ36" s="304"/>
      <c r="BA36" s="354">
        <v>0</v>
      </c>
    </row>
    <row r="37" spans="1:53" s="2380" customFormat="1" ht="1.1499999999999999" customHeight="1">
      <c r="A37" s="1284"/>
      <c r="B37" s="1284"/>
      <c r="C37" s="1284"/>
      <c r="D37" s="1284"/>
      <c r="E37" s="1284"/>
      <c r="F37" s="1284"/>
      <c r="G37" s="1284"/>
      <c r="H37" s="1284"/>
      <c r="I37" s="1284"/>
      <c r="J37" s="1284"/>
      <c r="K37" s="1284"/>
      <c r="L37" s="1285"/>
      <c r="M37" s="1284"/>
      <c r="N37" s="1284"/>
      <c r="O37" s="1284"/>
      <c r="P37" s="1284"/>
      <c r="Q37" s="1284"/>
      <c r="S37" s="260"/>
      <c r="T37" s="260"/>
      <c r="U37" s="125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191"/>
      <c r="T38" s="299"/>
      <c r="U38" s="1160"/>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c r="AS38" s="2575"/>
      <c r="BA38" s="1071">
        <v>14</v>
      </c>
    </row>
    <row r="39" spans="1:53" ht="14.65" customHeight="1">
      <c r="Q39" s="228"/>
      <c r="R39" s="312"/>
      <c r="S39" s="2435" t="s">
        <v>299</v>
      </c>
      <c r="T39" s="2435"/>
      <c r="U39" s="2435"/>
      <c r="V39" s="2435"/>
      <c r="W39" s="2435"/>
      <c r="X39" s="2435"/>
      <c r="Y39" s="2435"/>
      <c r="Z39" s="2435"/>
      <c r="AA39" s="2435"/>
      <c r="AB39" s="2494"/>
      <c r="AC39" s="2494"/>
      <c r="AD39" s="2494"/>
      <c r="AE39" s="2494"/>
      <c r="AF39" s="2435"/>
      <c r="AG39" s="2435"/>
      <c r="AH39" s="2435"/>
      <c r="AI39" s="2435"/>
      <c r="AJ39" s="2435"/>
      <c r="AK39" s="2435"/>
      <c r="AL39" s="2435"/>
      <c r="AM39" s="2435"/>
      <c r="AN39" s="2435"/>
      <c r="AO39" s="2435"/>
      <c r="AP39" s="2435"/>
      <c r="AQ39" s="2435"/>
      <c r="AR39" s="2435"/>
      <c r="AS39" s="2435"/>
      <c r="AT39" s="2435"/>
      <c r="AU39" s="2435" t="s">
        <v>300</v>
      </c>
      <c r="BA39" s="1071">
        <v>14</v>
      </c>
    </row>
    <row r="40" spans="1:53" ht="14.65" customHeight="1">
      <c r="Q40" s="228"/>
      <c r="R40" s="312"/>
      <c r="S40" s="2576" t="s">
        <v>88</v>
      </c>
      <c r="T40" s="2524" t="s">
        <v>472</v>
      </c>
      <c r="U40" s="238"/>
      <c r="V40" s="2578"/>
      <c r="W40" s="2578"/>
      <c r="X40" s="2578"/>
      <c r="Y40" s="2578"/>
      <c r="Z40" s="2579"/>
      <c r="AA40" s="2625" t="s">
        <v>429</v>
      </c>
      <c r="AB40" s="2609" t="s">
        <v>473</v>
      </c>
      <c r="AC40" s="2593"/>
      <c r="AD40" s="2593"/>
      <c r="AE40" s="2610"/>
      <c r="AF40" s="2593" t="s">
        <v>474</v>
      </c>
      <c r="AG40" s="2593"/>
      <c r="AH40" s="2593"/>
      <c r="AI40" s="2610"/>
      <c r="AJ40" s="2609" t="s">
        <v>475</v>
      </c>
      <c r="AK40" s="2593"/>
      <c r="AL40" s="2593"/>
      <c r="AM40" s="2610"/>
      <c r="AN40" s="2609" t="s">
        <v>428</v>
      </c>
      <c r="AO40" s="2593"/>
      <c r="AP40" s="2578"/>
      <c r="AQ40" s="2578"/>
      <c r="AR40" s="2579"/>
      <c r="AS40" s="2580" t="s">
        <v>429</v>
      </c>
      <c r="AT40" s="2583" t="s">
        <v>431</v>
      </c>
      <c r="AU40" s="2435"/>
      <c r="BA40" s="1071">
        <v>14</v>
      </c>
    </row>
    <row r="41" spans="1:53" ht="35.65" customHeight="1">
      <c r="Q41" s="228"/>
      <c r="R41" s="312"/>
      <c r="S41" s="2576"/>
      <c r="T41" s="2524"/>
      <c r="U41" s="953"/>
      <c r="V41" s="2435" t="s">
        <v>476</v>
      </c>
      <c r="W41" s="2435"/>
      <c r="X41" s="2495" t="s">
        <v>435</v>
      </c>
      <c r="Y41" s="2605"/>
      <c r="Z41" s="2496"/>
      <c r="AA41" s="2626"/>
      <c r="AB41" s="2611"/>
      <c r="AC41" s="2612"/>
      <c r="AD41" s="2612"/>
      <c r="AE41" s="2624"/>
      <c r="AF41" s="2612"/>
      <c r="AG41" s="2612"/>
      <c r="AH41" s="2612"/>
      <c r="AI41" s="2624"/>
      <c r="AJ41" s="2611"/>
      <c r="AK41" s="2612"/>
      <c r="AL41" s="2612"/>
      <c r="AM41" s="2612"/>
      <c r="AN41" s="2435" t="s">
        <v>476</v>
      </c>
      <c r="AO41" s="2435"/>
      <c r="AP41" s="2605" t="s">
        <v>435</v>
      </c>
      <c r="AQ41" s="2605"/>
      <c r="AR41" s="2496"/>
      <c r="AS41" s="2581"/>
      <c r="AT41" s="2584"/>
      <c r="AU41" s="2435"/>
      <c r="BA41" s="1071">
        <v>34</v>
      </c>
    </row>
    <row r="42" spans="1:53" ht="14.65" customHeight="1">
      <c r="Q42" s="228"/>
      <c r="R42" s="312"/>
      <c r="S42" s="2576"/>
      <c r="T42" s="2524"/>
      <c r="U42" s="953"/>
      <c r="V42" s="2629" t="str">
        <f>IF($AN$42&lt;&gt;"",$AN$42,"")</f>
        <v/>
      </c>
      <c r="W42" s="2629"/>
      <c r="X42" s="2500"/>
      <c r="Y42" s="2606"/>
      <c r="Z42" s="2501"/>
      <c r="AA42" s="2626"/>
      <c r="AB42" s="2611"/>
      <c r="AC42" s="2612"/>
      <c r="AD42" s="2612"/>
      <c r="AE42" s="2624"/>
      <c r="AF42" s="2612"/>
      <c r="AG42" s="2612"/>
      <c r="AH42" s="2612"/>
      <c r="AI42" s="2624"/>
      <c r="AJ42" s="2611"/>
      <c r="AK42" s="2612"/>
      <c r="AL42" s="2612"/>
      <c r="AM42" s="2612"/>
      <c r="AN42" s="2628"/>
      <c r="AO42" s="2628"/>
      <c r="AP42" s="2606"/>
      <c r="AQ42" s="2606"/>
      <c r="AR42" s="2501"/>
      <c r="AS42" s="2581"/>
      <c r="AT42" s="2584"/>
      <c r="AU42" s="2435"/>
      <c r="BA42" s="1071">
        <v>14</v>
      </c>
    </row>
    <row r="43" spans="1:53" ht="14.65" customHeight="1">
      <c r="A43" s="1286"/>
      <c r="B43" s="1286" t="s">
        <v>136</v>
      </c>
      <c r="C43" s="1286" t="s">
        <v>137</v>
      </c>
      <c r="D43" s="1286" t="s">
        <v>138</v>
      </c>
      <c r="E43" s="1280" t="s">
        <v>436</v>
      </c>
      <c r="F43" s="1280" t="s">
        <v>437</v>
      </c>
      <c r="G43" s="1280" t="s">
        <v>438</v>
      </c>
      <c r="H43" s="1280" t="s">
        <v>439</v>
      </c>
      <c r="I43" s="1280" t="s">
        <v>440</v>
      </c>
      <c r="J43" s="1280" t="s">
        <v>441</v>
      </c>
      <c r="K43" s="1280" t="s">
        <v>442</v>
      </c>
      <c r="L43" s="1280" t="s">
        <v>417</v>
      </c>
      <c r="Q43" s="228"/>
      <c r="R43" s="312"/>
      <c r="S43" s="2576"/>
      <c r="T43" s="2524"/>
      <c r="U43" s="239"/>
      <c r="V43" s="1246" t="s">
        <v>477</v>
      </c>
      <c r="W43" s="1246" t="s">
        <v>478</v>
      </c>
      <c r="X43" s="1254" t="s">
        <v>445</v>
      </c>
      <c r="Y43" s="2529" t="s">
        <v>446</v>
      </c>
      <c r="Z43" s="2543"/>
      <c r="AA43" s="2627"/>
      <c r="AB43" s="2613"/>
      <c r="AC43" s="2614"/>
      <c r="AD43" s="2614"/>
      <c r="AE43" s="2615"/>
      <c r="AF43" s="2614"/>
      <c r="AG43" s="2614"/>
      <c r="AH43" s="2614"/>
      <c r="AI43" s="2615"/>
      <c r="AJ43" s="2613"/>
      <c r="AK43" s="2614"/>
      <c r="AL43" s="2614"/>
      <c r="AM43" s="2615"/>
      <c r="AN43" s="1772" t="s">
        <v>477</v>
      </c>
      <c r="AO43" s="1772" t="s">
        <v>478</v>
      </c>
      <c r="AP43" s="1254" t="s">
        <v>445</v>
      </c>
      <c r="AQ43" s="2529" t="s">
        <v>446</v>
      </c>
      <c r="AR43" s="2543"/>
      <c r="AS43" s="2582"/>
      <c r="AT43" s="2585"/>
      <c r="AU43" s="2435"/>
      <c r="BA43" s="1071">
        <v>14</v>
      </c>
    </row>
    <row r="44" spans="1:53" s="2335" customFormat="1" ht="11.25" hidden="1" customHeight="1">
      <c r="A44" s="1286"/>
      <c r="B44" s="1286"/>
      <c r="C44" s="1286"/>
      <c r="D44" s="1286"/>
      <c r="E44" s="1286"/>
      <c r="F44" s="1286"/>
      <c r="G44" s="1286"/>
      <c r="H44" s="1286"/>
      <c r="I44" s="1286"/>
      <c r="J44" s="1286"/>
      <c r="K44" s="1286"/>
      <c r="L44" s="1280"/>
      <c r="M44" s="1278"/>
      <c r="N44" s="1278"/>
      <c r="O44" s="1278"/>
      <c r="P44" s="446"/>
      <c r="Q44" s="1170"/>
      <c r="R44" s="1170">
        <v>1</v>
      </c>
      <c r="S44" s="1193" t="s">
        <v>109</v>
      </c>
      <c r="T44" s="1171" t="s">
        <v>110</v>
      </c>
      <c r="U44" s="1161" t="str">
        <f ca="1">OFFSET(U44,0,-1)</f>
        <v>2</v>
      </c>
      <c r="V44" s="1251">
        <f ca="1">OFFSET(V44,0,-1)+1</f>
        <v>3</v>
      </c>
      <c r="W44" s="1251">
        <f ca="1">OFFSET(W44,0,-1)+1</f>
        <v>4</v>
      </c>
      <c r="X44" s="1251">
        <f ca="1">OFFSET(X44,0,-1)+1</f>
        <v>5</v>
      </c>
      <c r="Y44" s="2574">
        <f ca="1">OFFSET(Y44,0,-1)+1</f>
        <v>6</v>
      </c>
      <c r="Z44" s="2574"/>
      <c r="AA44" s="1251">
        <f ca="1">OFFSET(AA44,0,-2)+1</f>
        <v>7</v>
      </c>
      <c r="AB44" s="1257">
        <f ca="1">OFFSET(AB44,0,-1)+1</f>
        <v>8</v>
      </c>
      <c r="AC44" s="1257"/>
      <c r="AD44" s="1257"/>
      <c r="AE44" s="1257"/>
      <c r="AF44" s="1251"/>
      <c r="AG44" s="1251"/>
      <c r="AH44" s="1251"/>
      <c r="AI44" s="1251"/>
      <c r="AJ44" s="1251"/>
      <c r="AK44" s="1251"/>
      <c r="AL44" s="1251"/>
      <c r="AM44" s="1251"/>
      <c r="AN44" s="1251">
        <f ca="1">OFFSET(AN44,0,-1)+1</f>
        <v>1</v>
      </c>
      <c r="AO44" s="1251">
        <f ca="1">OFFSET(AO44,0,-1)+1</f>
        <v>2</v>
      </c>
      <c r="AP44" s="1251">
        <f ca="1">OFFSET(AP44,0,-1)+1</f>
        <v>3</v>
      </c>
      <c r="AQ44" s="2574">
        <f ca="1">OFFSET(AQ44,0,-1)+1</f>
        <v>4</v>
      </c>
      <c r="AR44" s="2574"/>
      <c r="AS44" s="1251">
        <f ca="1">OFFSET(AS44,0,-2)+1</f>
        <v>5</v>
      </c>
      <c r="AT44" s="1161">
        <f ca="1">OFFSET(AT44,0,-1)</f>
        <v>5</v>
      </c>
      <c r="AU44" s="1251">
        <f ca="1">OFFSET(AU44,0,-1)+1</f>
        <v>6</v>
      </c>
      <c r="AV44" s="447"/>
      <c r="AW44" s="447"/>
      <c r="AX44" s="447"/>
      <c r="AY44" s="447"/>
      <c r="AZ44" s="447"/>
      <c r="BA44" s="432">
        <v>0</v>
      </c>
    </row>
    <row r="45" spans="1:53" ht="107.25" customHeight="1">
      <c r="A45" s="1279" t="s">
        <v>199</v>
      </c>
      <c r="B45" s="1279"/>
      <c r="C45" s="1279"/>
      <c r="D45" s="1279"/>
      <c r="E45" s="2563">
        <v>1</v>
      </c>
      <c r="F45" s="1279"/>
      <c r="G45" s="1279"/>
      <c r="H45" s="1279"/>
      <c r="I45" s="1279"/>
      <c r="J45" s="1279"/>
      <c r="K45" s="1279"/>
      <c r="L45" s="1280"/>
      <c r="M45" s="1281"/>
      <c r="N45" s="1281"/>
      <c r="O45" s="1281"/>
      <c r="P45" s="1325"/>
      <c r="Q45" s="799"/>
      <c r="R45" s="291"/>
      <c r="S45" s="1252">
        <f>INDEX(PT_DIFFERENTIATION_NUM_NTAR,MATCH(A45,PT_DIFFERENTIATION_NTAR_ID,0))</f>
        <v>0</v>
      </c>
      <c r="T45" s="235" t="s">
        <v>124</v>
      </c>
      <c r="U45" s="237"/>
      <c r="V45" s="2558"/>
      <c r="W45" s="2558"/>
      <c r="X45" s="2558"/>
      <c r="Y45" s="2558"/>
      <c r="Z45" s="2558"/>
      <c r="AA45" s="2559"/>
      <c r="AB45" s="2557" t="str">
        <f>INDEX(PT_DIFFERENTIATION_NTAR,MATCH(A45,PT_DIFFERENTIATION_NTAR_ID,0))</f>
        <v/>
      </c>
      <c r="AC45" s="2558"/>
      <c r="AD45" s="2558"/>
      <c r="AE45" s="2558"/>
      <c r="AF45" s="2558"/>
      <c r="AG45" s="2558"/>
      <c r="AH45" s="2558"/>
      <c r="AI45" s="2558"/>
      <c r="AJ45" s="2558"/>
      <c r="AK45" s="2558"/>
      <c r="AL45" s="2558"/>
      <c r="AM45" s="2558"/>
      <c r="AN45" s="2558"/>
      <c r="AO45" s="2558"/>
      <c r="AP45" s="2558"/>
      <c r="AQ45" s="2558"/>
      <c r="AR45" s="2558"/>
      <c r="AS45" s="2558"/>
      <c r="AT45" s="2559"/>
      <c r="AU45"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1">
        <v>102</v>
      </c>
    </row>
    <row r="46" spans="1:53" ht="21.95" customHeight="1">
      <c r="A46" s="1279" t="s">
        <v>199</v>
      </c>
      <c r="B46" s="1279" t="s">
        <v>200</v>
      </c>
      <c r="C46" s="1279"/>
      <c r="D46" s="1279"/>
      <c r="E46" s="2564"/>
      <c r="F46" s="2563">
        <v>1</v>
      </c>
      <c r="G46" s="1279"/>
      <c r="H46" s="1279"/>
      <c r="I46" s="1279"/>
      <c r="J46" s="1279"/>
      <c r="K46" s="1279"/>
      <c r="L46" s="1280"/>
      <c r="M46" s="1281"/>
      <c r="N46" s="1281"/>
      <c r="O46" s="1281"/>
      <c r="P46" s="1326"/>
      <c r="Q46" s="1327"/>
      <c r="R46" s="289"/>
      <c r="S46" s="1252" t="str">
        <f>INDEX(PT_DIFFERENTIATION_NUM_TER,MATCH(B46,PT_DIFFERENTIATION_TER_ID,0))</f>
        <v>.</v>
      </c>
      <c r="T46" s="245" t="s">
        <v>396</v>
      </c>
      <c r="U46" s="237"/>
      <c r="V46" s="2558"/>
      <c r="W46" s="2558"/>
      <c r="X46" s="2558"/>
      <c r="Y46" s="2558"/>
      <c r="Z46" s="2558"/>
      <c r="AA46" s="2559"/>
      <c r="AB46" s="2557" t="str">
        <f>INDEX(PT_DIFFERENTIATION_TER,MATCH(B46,PT_DIFFERENTIATION_TER_ID,0))</f>
        <v/>
      </c>
      <c r="AC46" s="2558"/>
      <c r="AD46" s="2558"/>
      <c r="AE46" s="2558"/>
      <c r="AF46" s="2558"/>
      <c r="AG46" s="2558"/>
      <c r="AH46" s="2558"/>
      <c r="AI46" s="2558"/>
      <c r="AJ46" s="2558"/>
      <c r="AK46" s="2558"/>
      <c r="AL46" s="2558"/>
      <c r="AM46" s="2558"/>
      <c r="AN46" s="2558"/>
      <c r="AO46" s="2558"/>
      <c r="AP46" s="2558"/>
      <c r="AQ46" s="2558"/>
      <c r="AR46" s="2558"/>
      <c r="AS46" s="2558"/>
      <c r="AT46" s="2559"/>
      <c r="AU46" s="1174" t="s">
        <v>397</v>
      </c>
      <c r="AW46" s="436"/>
      <c r="AX46" s="436" t="str">
        <f t="shared" si="2"/>
        <v>Территория действия тарифа</v>
      </c>
      <c r="AY46" s="436"/>
      <c r="AZ46" s="436"/>
      <c r="BA46" s="1071">
        <v>21</v>
      </c>
    </row>
    <row r="47" spans="1:53" ht="24" customHeight="1">
      <c r="A47" s="1279" t="s">
        <v>199</v>
      </c>
      <c r="B47" s="1279" t="s">
        <v>200</v>
      </c>
      <c r="C47" s="1279" t="s">
        <v>201</v>
      </c>
      <c r="D47" s="1279"/>
      <c r="E47" s="2564"/>
      <c r="F47" s="2564"/>
      <c r="G47" s="2563">
        <v>1</v>
      </c>
      <c r="H47" s="1279"/>
      <c r="I47" s="1279"/>
      <c r="J47" s="1279"/>
      <c r="K47" s="1279"/>
      <c r="L47" s="1280"/>
      <c r="M47" s="1281"/>
      <c r="N47" s="1281"/>
      <c r="O47" s="1281"/>
      <c r="P47" s="1328"/>
      <c r="Q47" s="1327"/>
      <c r="R47" s="289"/>
      <c r="S47" s="1252" t="str">
        <f>INDEX(PT_DIFFERENTIATION_NUM_CS,MATCH(C47,PT_DIFFERENTIATION_CS_ID,0))</f>
        <v>..</v>
      </c>
      <c r="T47" s="246" t="s">
        <v>398</v>
      </c>
      <c r="U47" s="237"/>
      <c r="V47" s="2558"/>
      <c r="W47" s="2558"/>
      <c r="X47" s="2558"/>
      <c r="Y47" s="2558"/>
      <c r="Z47" s="2558"/>
      <c r="AA47" s="2559"/>
      <c r="AB47" s="2557" t="str">
        <f>INDEX(PT_DIFFERENTIATION_CS,MATCH(C47,PT_DIFFERENTIATION_CS_ID,0))</f>
        <v/>
      </c>
      <c r="AC47" s="2558"/>
      <c r="AD47" s="2558"/>
      <c r="AE47" s="2558"/>
      <c r="AF47" s="2558"/>
      <c r="AG47" s="2558"/>
      <c r="AH47" s="2558"/>
      <c r="AI47" s="2558"/>
      <c r="AJ47" s="2558"/>
      <c r="AK47" s="2558"/>
      <c r="AL47" s="2558"/>
      <c r="AM47" s="2558"/>
      <c r="AN47" s="2558"/>
      <c r="AO47" s="2558"/>
      <c r="AP47" s="2558"/>
      <c r="AQ47" s="2558"/>
      <c r="AR47" s="2558"/>
      <c r="AS47" s="2558"/>
      <c r="AT47" s="2559"/>
      <c r="AU47" s="1174" t="s">
        <v>399</v>
      </c>
      <c r="AW47" s="436"/>
      <c r="AX47" s="436" t="str">
        <f t="shared" si="2"/>
        <v xml:space="preserve">Наименование системы теплоснабжения </v>
      </c>
      <c r="AY47" s="436"/>
      <c r="AZ47" s="436"/>
      <c r="BA47" s="1071">
        <v>23</v>
      </c>
    </row>
    <row r="48" spans="1:53" ht="21" customHeight="1">
      <c r="A48" s="1279" t="s">
        <v>199</v>
      </c>
      <c r="B48" s="1279" t="s">
        <v>200</v>
      </c>
      <c r="C48" s="1279" t="s">
        <v>201</v>
      </c>
      <c r="D48" s="1279" t="s">
        <v>202</v>
      </c>
      <c r="E48" s="2564"/>
      <c r="F48" s="2564"/>
      <c r="G48" s="2564"/>
      <c r="H48" s="2563">
        <v>1</v>
      </c>
      <c r="I48" s="1279"/>
      <c r="J48" s="1279"/>
      <c r="K48" s="1279"/>
      <c r="L48" s="1280"/>
      <c r="M48" s="1281"/>
      <c r="N48" s="1281"/>
      <c r="O48" s="1281"/>
      <c r="P48" s="1328"/>
      <c r="Q48" s="1327"/>
      <c r="R48" s="289"/>
      <c r="S48" s="1252" t="str">
        <f>INDEX(PT_DIFFERENTIATION_NUM_IST_TE,MATCH(D48,PT_DIFFERENTIATION_IST_TE_ID,0))</f>
        <v>...</v>
      </c>
      <c r="T48" s="247" t="s">
        <v>400</v>
      </c>
      <c r="U48" s="237"/>
      <c r="V48" s="2558"/>
      <c r="W48" s="2558"/>
      <c r="X48" s="2558"/>
      <c r="Y48" s="2558"/>
      <c r="Z48" s="2558"/>
      <c r="AA48" s="2559"/>
      <c r="AB48" s="2557" t="str">
        <f>INDEX(PT_DIFFERENTIATION_IST_TE,MATCH(D48,PT_DIFFERENTIATION_IST_TE_ID,0))</f>
        <v/>
      </c>
      <c r="AC48" s="2558"/>
      <c r="AD48" s="2558"/>
      <c r="AE48" s="2558"/>
      <c r="AF48" s="2558"/>
      <c r="AG48" s="2558"/>
      <c r="AH48" s="2558"/>
      <c r="AI48" s="2558"/>
      <c r="AJ48" s="2558"/>
      <c r="AK48" s="2558"/>
      <c r="AL48" s="2558"/>
      <c r="AM48" s="2558"/>
      <c r="AN48" s="2558"/>
      <c r="AO48" s="2558"/>
      <c r="AP48" s="2558"/>
      <c r="AQ48" s="2558"/>
      <c r="AR48" s="2558"/>
      <c r="AS48" s="2558"/>
      <c r="AT48" s="2559"/>
      <c r="AU48" s="1174" t="s">
        <v>401</v>
      </c>
      <c r="AW48" s="436"/>
      <c r="AX48" s="436" t="str">
        <f t="shared" si="2"/>
        <v xml:space="preserve">Источник тепловой энергии  </v>
      </c>
      <c r="AY48" s="436"/>
      <c r="AZ48" s="436"/>
      <c r="BA48" s="1071">
        <v>20</v>
      </c>
    </row>
    <row r="49" spans="1:53" s="2344" customFormat="1" ht="1.1499999999999999" customHeight="1">
      <c r="A49" s="1259" t="s">
        <v>199</v>
      </c>
      <c r="B49" s="1259" t="s">
        <v>200</v>
      </c>
      <c r="C49" s="1259" t="s">
        <v>201</v>
      </c>
      <c r="D49" s="1259" t="s">
        <v>202</v>
      </c>
      <c r="E49" s="2564"/>
      <c r="F49" s="2564"/>
      <c r="G49" s="2564"/>
      <c r="H49" s="2564"/>
      <c r="I49" s="2565" t="str">
        <f>S48&amp;".1"</f>
        <v>....1</v>
      </c>
      <c r="J49" s="1259"/>
      <c r="K49" s="1259"/>
      <c r="L49" s="1262" t="s">
        <v>402</v>
      </c>
      <c r="M49" s="446"/>
      <c r="N49" s="446"/>
      <c r="O49" s="446"/>
      <c r="P49" s="2567">
        <v>1</v>
      </c>
      <c r="Q49" s="1247"/>
      <c r="R49" s="292"/>
      <c r="S49" s="964"/>
      <c r="T49" s="1299"/>
      <c r="U49" s="1300"/>
      <c r="V49" s="2595"/>
      <c r="W49" s="2595"/>
      <c r="X49" s="2595"/>
      <c r="Y49" s="2595"/>
      <c r="Z49" s="2595"/>
      <c r="AA49" s="2596"/>
      <c r="AB49" s="2594"/>
      <c r="AC49" s="2595"/>
      <c r="AD49" s="2595"/>
      <c r="AE49" s="2595"/>
      <c r="AF49" s="2595"/>
      <c r="AG49" s="2595"/>
      <c r="AH49" s="2595"/>
      <c r="AI49" s="2595"/>
      <c r="AJ49" s="2595"/>
      <c r="AK49" s="2595"/>
      <c r="AL49" s="2595"/>
      <c r="AM49" s="2595"/>
      <c r="AN49" s="2595"/>
      <c r="AO49" s="2595"/>
      <c r="AP49" s="2595"/>
      <c r="AQ49" s="2595"/>
      <c r="AR49" s="2595"/>
      <c r="AS49" s="2595"/>
      <c r="AT49" s="2596"/>
      <c r="AU49" s="1301"/>
      <c r="AW49" s="436"/>
      <c r="AX49" s="436" t="str">
        <f t="shared" si="2"/>
        <v/>
      </c>
      <c r="AY49" s="436"/>
      <c r="AZ49" s="436"/>
      <c r="BA49" s="447">
        <v>1</v>
      </c>
    </row>
    <row r="50" spans="1:53" s="2344" customFormat="1" ht="1.1499999999999999" customHeight="1">
      <c r="A50" s="1259" t="s">
        <v>199</v>
      </c>
      <c r="B50" s="1259" t="s">
        <v>200</v>
      </c>
      <c r="C50" s="1259" t="s">
        <v>201</v>
      </c>
      <c r="D50" s="1259" t="s">
        <v>202</v>
      </c>
      <c r="E50" s="2564"/>
      <c r="F50" s="2564"/>
      <c r="G50" s="2564"/>
      <c r="H50" s="2564"/>
      <c r="I50" s="2566"/>
      <c r="J50" s="2565" t="str">
        <f>S48&amp;".1"</f>
        <v>....1</v>
      </c>
      <c r="K50" s="1259"/>
      <c r="L50" s="1262"/>
      <c r="M50" s="446"/>
      <c r="N50" s="446"/>
      <c r="O50" s="446"/>
      <c r="P50" s="2567"/>
      <c r="Q50" s="2567">
        <v>1</v>
      </c>
      <c r="R50" s="293"/>
      <c r="S50" s="964"/>
      <c r="T50" s="1315"/>
      <c r="U50" s="1300"/>
      <c r="V50" s="2595"/>
      <c r="W50" s="2595"/>
      <c r="X50" s="2595"/>
      <c r="Y50" s="2595"/>
      <c r="Z50" s="2595"/>
      <c r="AA50" s="2596"/>
      <c r="AB50" s="2594"/>
      <c r="AC50" s="2595"/>
      <c r="AD50" s="2595"/>
      <c r="AE50" s="2595"/>
      <c r="AF50" s="2595"/>
      <c r="AG50" s="2595"/>
      <c r="AH50" s="2595"/>
      <c r="AI50" s="2595"/>
      <c r="AJ50" s="2595"/>
      <c r="AK50" s="2595"/>
      <c r="AL50" s="2595"/>
      <c r="AM50" s="2595"/>
      <c r="AN50" s="2595"/>
      <c r="AO50" s="2595"/>
      <c r="AP50" s="2595"/>
      <c r="AQ50" s="2595"/>
      <c r="AR50" s="2595"/>
      <c r="AS50" s="2595"/>
      <c r="AT50" s="2596"/>
      <c r="AU50" s="1301"/>
      <c r="AW50" s="436"/>
      <c r="AX50" s="436" t="str">
        <f t="shared" si="2"/>
        <v/>
      </c>
      <c r="AY50" s="436"/>
      <c r="AZ50" s="436"/>
      <c r="BA50" s="447">
        <v>1</v>
      </c>
    </row>
    <row r="51" spans="1:53" ht="21.95" customHeight="1">
      <c r="A51" s="1279" t="s">
        <v>199</v>
      </c>
      <c r="B51" s="1279" t="s">
        <v>200</v>
      </c>
      <c r="C51" s="1279" t="s">
        <v>201</v>
      </c>
      <c r="D51" s="1279" t="s">
        <v>202</v>
      </c>
      <c r="E51" s="2564"/>
      <c r="F51" s="2564"/>
      <c r="G51" s="2564"/>
      <c r="H51" s="2564"/>
      <c r="I51" s="2566"/>
      <c r="J51" s="2566"/>
      <c r="K51" s="2565" t="str">
        <f>S48&amp;".1"</f>
        <v>....1</v>
      </c>
      <c r="L51" s="1280"/>
      <c r="P51" s="2567"/>
      <c r="Q51" s="2567"/>
      <c r="R51" s="293">
        <v>1</v>
      </c>
      <c r="S51" s="2620" t="str">
        <f>$K51</f>
        <v>....1</v>
      </c>
      <c r="T51" s="2617"/>
      <c r="U51" s="237"/>
      <c r="V51" s="687"/>
      <c r="W51" s="1173"/>
      <c r="X51" s="1649"/>
      <c r="Y51" s="1375" t="s">
        <v>62</v>
      </c>
      <c r="Z51" s="1649"/>
      <c r="AA51" s="1375" t="s">
        <v>62</v>
      </c>
      <c r="AB51" s="2445" t="s">
        <v>19</v>
      </c>
      <c r="AC51" s="2616"/>
      <c r="AD51" s="2520">
        <v>1</v>
      </c>
      <c r="AE51" s="2608" t="s">
        <v>22</v>
      </c>
      <c r="AF51" s="2445" t="s">
        <v>19</v>
      </c>
      <c r="AG51" s="2616"/>
      <c r="AH51" s="2520">
        <v>1</v>
      </c>
      <c r="AI51" s="2608" t="s">
        <v>22</v>
      </c>
      <c r="AJ51" s="2445" t="s">
        <v>19</v>
      </c>
      <c r="AK51" s="248"/>
      <c r="AL51" s="1253">
        <v>1</v>
      </c>
      <c r="AM51" s="1318"/>
      <c r="AN51" s="687"/>
      <c r="AO51" s="1173"/>
      <c r="AP51" s="1649"/>
      <c r="AQ51" s="1375" t="s">
        <v>62</v>
      </c>
      <c r="AR51" s="1649"/>
      <c r="AS51" s="1375" t="s">
        <v>62</v>
      </c>
      <c r="AT51" s="1264"/>
      <c r="AU51" s="2586" t="s">
        <v>479</v>
      </c>
      <c r="AV51" s="447" t="e">
        <f ca="1">STRCHECKDATE(V54:AT54)</f>
        <v>#NAME?</v>
      </c>
      <c r="AW51" s="436"/>
      <c r="AX51" s="436" t="str">
        <f t="shared" si="2"/>
        <v/>
      </c>
      <c r="AY51" s="436"/>
      <c r="AZ51" s="436"/>
      <c r="BA51" s="1071">
        <v>21</v>
      </c>
    </row>
    <row r="52" spans="1:53" ht="11.45" customHeight="1">
      <c r="A52" s="1279" t="s">
        <v>199</v>
      </c>
      <c r="B52" s="1279"/>
      <c r="C52" s="1279"/>
      <c r="D52" s="1279"/>
      <c r="E52" s="2564"/>
      <c r="F52" s="2564"/>
      <c r="G52" s="2564"/>
      <c r="H52" s="2564"/>
      <c r="I52" s="2566"/>
      <c r="J52" s="2566"/>
      <c r="K52" s="2565"/>
      <c r="L52" s="1280"/>
      <c r="P52" s="2567"/>
      <c r="Q52" s="2567"/>
      <c r="R52" s="293"/>
      <c r="S52" s="2621"/>
      <c r="T52" s="2618"/>
      <c r="U52" s="237"/>
      <c r="V52" s="1309"/>
      <c r="W52" s="1412"/>
      <c r="X52" s="1309"/>
      <c r="Y52" s="1309"/>
      <c r="Z52" s="1309"/>
      <c r="AA52" s="1309"/>
      <c r="AB52" s="2445"/>
      <c r="AC52" s="2616"/>
      <c r="AD52" s="2520"/>
      <c r="AE52" s="2608"/>
      <c r="AF52" s="2445"/>
      <c r="AG52" s="2616"/>
      <c r="AH52" s="2520"/>
      <c r="AI52" s="2608"/>
      <c r="AJ52" s="2445"/>
      <c r="AK52" s="253"/>
      <c r="AL52" s="352"/>
      <c r="AM52" s="351" t="s">
        <v>464</v>
      </c>
      <c r="AN52" s="1309"/>
      <c r="AO52" s="1412"/>
      <c r="AP52" s="1309"/>
      <c r="AQ52" s="1309"/>
      <c r="AR52" s="1309"/>
      <c r="AS52" s="1309"/>
      <c r="AT52" s="1306"/>
      <c r="AU52" s="2587"/>
      <c r="AW52" s="436"/>
      <c r="AX52" s="436"/>
      <c r="AY52" s="436"/>
      <c r="AZ52" s="436"/>
      <c r="BA52" s="1071">
        <v>11</v>
      </c>
    </row>
    <row r="53" spans="1:53" ht="11.45" customHeight="1">
      <c r="A53" s="1279" t="s">
        <v>199</v>
      </c>
      <c r="B53" s="1279"/>
      <c r="C53" s="1279"/>
      <c r="D53" s="1279"/>
      <c r="E53" s="2564"/>
      <c r="F53" s="2564"/>
      <c r="G53" s="2564"/>
      <c r="H53" s="2564"/>
      <c r="I53" s="2566"/>
      <c r="J53" s="2566"/>
      <c r="K53" s="2565"/>
      <c r="L53" s="1280"/>
      <c r="P53" s="2567"/>
      <c r="Q53" s="2567"/>
      <c r="R53" s="293"/>
      <c r="S53" s="2621"/>
      <c r="T53" s="2618"/>
      <c r="U53" s="237"/>
      <c r="V53" s="1309"/>
      <c r="W53" s="1412"/>
      <c r="X53" s="1309"/>
      <c r="Y53" s="1309"/>
      <c r="Z53" s="1309"/>
      <c r="AA53" s="1309"/>
      <c r="AB53" s="2445"/>
      <c r="AC53" s="2616"/>
      <c r="AD53" s="2520"/>
      <c r="AE53" s="2608"/>
      <c r="AF53" s="2445"/>
      <c r="AG53" s="231"/>
      <c r="AH53" s="351"/>
      <c r="AI53" s="351" t="s">
        <v>465</v>
      </c>
      <c r="AJ53" s="1309"/>
      <c r="AK53" s="1309"/>
      <c r="AL53" s="1309"/>
      <c r="AM53" s="1309"/>
      <c r="AN53" s="1309"/>
      <c r="AO53" s="1412"/>
      <c r="AP53" s="1309"/>
      <c r="AQ53" s="1309"/>
      <c r="AR53" s="1309"/>
      <c r="AS53" s="1309"/>
      <c r="AT53" s="1306"/>
      <c r="AU53" s="2587"/>
      <c r="AW53" s="436"/>
      <c r="AX53" s="436"/>
      <c r="AY53" s="436"/>
      <c r="AZ53" s="436"/>
      <c r="BA53" s="1071">
        <v>11</v>
      </c>
    </row>
    <row r="54" spans="1:53" ht="11.45" customHeight="1">
      <c r="A54" s="1279" t="s">
        <v>199</v>
      </c>
      <c r="B54" s="1279" t="s">
        <v>200</v>
      </c>
      <c r="C54" s="1279" t="s">
        <v>201</v>
      </c>
      <c r="D54" s="1279" t="s">
        <v>202</v>
      </c>
      <c r="E54" s="2564"/>
      <c r="F54" s="2564"/>
      <c r="G54" s="2564"/>
      <c r="H54" s="2564"/>
      <c r="I54" s="2566"/>
      <c r="J54" s="2566"/>
      <c r="K54" s="2565"/>
      <c r="L54" s="1280"/>
      <c r="P54" s="2567"/>
      <c r="Q54" s="2567"/>
      <c r="R54" s="293"/>
      <c r="S54" s="2622"/>
      <c r="T54" s="2619"/>
      <c r="U54" s="237"/>
      <c r="V54" s="1309"/>
      <c r="W54" s="1310" t="str">
        <f>X51&amp;"-"&amp;Z51</f>
        <v>-</v>
      </c>
      <c r="X54" s="1309"/>
      <c r="Y54" s="1309"/>
      <c r="Z54" s="1309"/>
      <c r="AA54" s="1309"/>
      <c r="AB54" s="2445"/>
      <c r="AC54" s="249"/>
      <c r="AD54" s="251"/>
      <c r="AE54" s="351" t="s">
        <v>466</v>
      </c>
      <c r="AF54" s="1309"/>
      <c r="AG54" s="1309"/>
      <c r="AH54" s="1309"/>
      <c r="AI54" s="1309"/>
      <c r="AJ54" s="1309"/>
      <c r="AK54" s="1309"/>
      <c r="AL54" s="1309"/>
      <c r="AM54" s="1309"/>
      <c r="AN54" s="1309"/>
      <c r="AO54" s="1310" t="str">
        <f>AP51&amp;"-"&amp;AR51</f>
        <v>-</v>
      </c>
      <c r="AP54" s="1309"/>
      <c r="AQ54" s="1309"/>
      <c r="AR54" s="1309"/>
      <c r="AS54" s="1309"/>
      <c r="AT54" s="1265"/>
      <c r="AU54" s="2587"/>
      <c r="AW54" s="436"/>
      <c r="AX54" s="436" t="str">
        <f t="shared" ref="AX54:AX62" si="3">IF(T54="","",T54)</f>
        <v/>
      </c>
      <c r="AY54" s="436"/>
      <c r="AZ54" s="436"/>
      <c r="BA54" s="1071">
        <v>11</v>
      </c>
    </row>
    <row r="55" spans="1:53" ht="11.45" customHeight="1">
      <c r="A55" s="1279" t="s">
        <v>199</v>
      </c>
      <c r="B55" s="1279" t="s">
        <v>200</v>
      </c>
      <c r="C55" s="1279" t="s">
        <v>201</v>
      </c>
      <c r="D55" s="1279" t="s">
        <v>202</v>
      </c>
      <c r="E55" s="2564"/>
      <c r="F55" s="2564"/>
      <c r="G55" s="2564"/>
      <c r="H55" s="2564"/>
      <c r="I55" s="2566"/>
      <c r="J55" s="2565"/>
      <c r="K55" s="1279"/>
      <c r="L55" s="1280"/>
      <c r="P55" s="2567"/>
      <c r="Q55" s="2567"/>
      <c r="R55" s="292"/>
      <c r="S55" s="1194"/>
      <c r="T55" s="224" t="s">
        <v>467</v>
      </c>
      <c r="U55" s="303"/>
      <c r="V55" s="303"/>
      <c r="W55" s="303"/>
      <c r="X55" s="303"/>
      <c r="Y55" s="303"/>
      <c r="Z55" s="303"/>
      <c r="AA55" s="261"/>
      <c r="AB55" s="1421"/>
      <c r="AC55" s="303"/>
      <c r="AD55" s="303"/>
      <c r="AE55" s="303"/>
      <c r="AF55" s="303"/>
      <c r="AG55" s="303"/>
      <c r="AH55" s="303"/>
      <c r="AI55" s="303"/>
      <c r="AJ55" s="303"/>
      <c r="AK55" s="303"/>
      <c r="AL55" s="303"/>
      <c r="AM55" s="303"/>
      <c r="AN55" s="303"/>
      <c r="AO55" s="303"/>
      <c r="AP55" s="303"/>
      <c r="AQ55" s="303"/>
      <c r="AR55" s="303"/>
      <c r="AS55" s="303"/>
      <c r="AT55" s="261"/>
      <c r="AU55" s="2588"/>
      <c r="AW55" s="436"/>
      <c r="AX55" s="436" t="str">
        <f t="shared" si="3"/>
        <v>Добавить строку</v>
      </c>
      <c r="AY55" s="436"/>
      <c r="AZ55" s="436"/>
      <c r="BA55" s="1071">
        <v>11</v>
      </c>
    </row>
    <row r="56" spans="1:53" s="2344" customFormat="1" ht="1.1499999999999999" customHeight="1">
      <c r="A56" s="1259" t="s">
        <v>199</v>
      </c>
      <c r="B56" s="1259" t="s">
        <v>200</v>
      </c>
      <c r="C56" s="1259" t="s">
        <v>201</v>
      </c>
      <c r="D56" s="1259" t="s">
        <v>202</v>
      </c>
      <c r="E56" s="2564"/>
      <c r="F56" s="2564"/>
      <c r="G56" s="2564"/>
      <c r="H56" s="2564"/>
      <c r="I56" s="2565"/>
      <c r="J56" s="1259"/>
      <c r="K56" s="1259"/>
      <c r="L56" s="1262"/>
      <c r="M56" s="446"/>
      <c r="N56" s="446"/>
      <c r="O56" s="446"/>
      <c r="P56" s="2567"/>
      <c r="Q56" s="1247"/>
      <c r="R56" s="292"/>
      <c r="S56" s="1302"/>
      <c r="T56" s="1303" t="s">
        <v>411</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36"/>
      <c r="AX56" s="436" t="str">
        <f t="shared" si="3"/>
        <v>Добавить группу потребителей</v>
      </c>
      <c r="AY56" s="436"/>
      <c r="AZ56" s="436"/>
      <c r="BA56" s="447">
        <v>1</v>
      </c>
    </row>
    <row r="57" spans="1:53" s="2335" customFormat="1" ht="1.1499999999999999" customHeight="1">
      <c r="A57" s="1259" t="s">
        <v>199</v>
      </c>
      <c r="B57" s="1259" t="s">
        <v>200</v>
      </c>
      <c r="C57" s="1259" t="s">
        <v>201</v>
      </c>
      <c r="D57" s="1259" t="s">
        <v>202</v>
      </c>
      <c r="E57" s="2564"/>
      <c r="F57" s="2564"/>
      <c r="G57" s="2564"/>
      <c r="H57" s="2563"/>
      <c r="I57" s="1259"/>
      <c r="J57" s="1259"/>
      <c r="K57" s="1259"/>
      <c r="L57" s="1262"/>
      <c r="M57" s="1231"/>
      <c r="N57" s="1231"/>
      <c r="O57" s="454"/>
      <c r="P57" s="316"/>
      <c r="Q57" s="1260"/>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47"/>
      <c r="AW57" s="436"/>
      <c r="AX57" s="436" t="str">
        <f t="shared" si="3"/>
        <v/>
      </c>
      <c r="AY57" s="436"/>
      <c r="AZ57" s="436"/>
      <c r="BA57" s="432">
        <v>1</v>
      </c>
    </row>
    <row r="58" spans="1:53" s="2344" customFormat="1" ht="1.1499999999999999" customHeight="1">
      <c r="A58" s="1259" t="s">
        <v>199</v>
      </c>
      <c r="B58" s="1259" t="s">
        <v>200</v>
      </c>
      <c r="C58" s="1259" t="s">
        <v>201</v>
      </c>
      <c r="D58" s="1230"/>
      <c r="E58" s="2564"/>
      <c r="F58" s="2564"/>
      <c r="G58" s="2563"/>
      <c r="H58" s="1230"/>
      <c r="I58" s="1230"/>
      <c r="J58" s="1230"/>
      <c r="K58" s="1230"/>
      <c r="L58" s="1255"/>
      <c r="M58" s="1231"/>
      <c r="N58" s="1231"/>
      <c r="P58" s="1232"/>
      <c r="Q58" s="1233"/>
      <c r="R58" s="1232"/>
      <c r="S58" s="1238"/>
      <c r="T58" s="1241" t="s">
        <v>413</v>
      </c>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1240"/>
      <c r="AP58" s="1240"/>
      <c r="AQ58" s="1240"/>
      <c r="AR58" s="1240"/>
      <c r="AS58" s="1240"/>
      <c r="AT58" s="1240"/>
      <c r="AU58" s="1240"/>
      <c r="AW58" s="719"/>
      <c r="AX58" s="719" t="str">
        <f t="shared" si="3"/>
        <v>Добавить источник для дифференциации</v>
      </c>
      <c r="AY58" s="719"/>
      <c r="AZ58" s="719"/>
      <c r="BA58" s="454">
        <v>1</v>
      </c>
    </row>
    <row r="59" spans="1:53" s="2344" customFormat="1" ht="1.1499999999999999" customHeight="1">
      <c r="A59" s="1259" t="s">
        <v>199</v>
      </c>
      <c r="B59" s="1259" t="s">
        <v>200</v>
      </c>
      <c r="C59" s="1230"/>
      <c r="D59" s="1230"/>
      <c r="E59" s="2564"/>
      <c r="F59" s="2563"/>
      <c r="G59" s="1230"/>
      <c r="H59" s="1230"/>
      <c r="I59" s="1230"/>
      <c r="J59" s="1230"/>
      <c r="K59" s="1230"/>
      <c r="L59" s="1255"/>
      <c r="M59" s="1237"/>
      <c r="N59" s="1237"/>
      <c r="P59" s="1232"/>
      <c r="Q59" s="1233"/>
      <c r="R59" s="1232"/>
      <c r="S59" s="1238"/>
      <c r="T59" s="1241" t="s">
        <v>414</v>
      </c>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1240"/>
      <c r="AP59" s="1240"/>
      <c r="AQ59" s="1240"/>
      <c r="AR59" s="1240"/>
      <c r="AS59" s="1240"/>
      <c r="AT59" s="1240"/>
      <c r="AU59" s="1240"/>
      <c r="AW59" s="719"/>
      <c r="AX59" s="719" t="str">
        <f t="shared" si="3"/>
        <v>Добавить централизованную систему для дифференциации</v>
      </c>
      <c r="AY59" s="719"/>
      <c r="AZ59" s="719"/>
      <c r="BA59" s="454">
        <v>1</v>
      </c>
    </row>
    <row r="60" spans="1:53" s="2344" customFormat="1" ht="1.1499999999999999" customHeight="1">
      <c r="A60" s="1259" t="s">
        <v>199</v>
      </c>
      <c r="B60" s="1259"/>
      <c r="C60" s="1259"/>
      <c r="D60" s="1259"/>
      <c r="E60" s="2564"/>
      <c r="F60" s="1259"/>
      <c r="G60" s="1259"/>
      <c r="H60" s="1259"/>
      <c r="I60" s="1259"/>
      <c r="J60" s="1259"/>
      <c r="K60" s="1259"/>
      <c r="L60" s="1262"/>
      <c r="M60" s="1237"/>
      <c r="N60" s="1237"/>
      <c r="O60" s="454"/>
      <c r="P60" s="316"/>
      <c r="Q60" s="1260"/>
      <c r="R60" s="316"/>
      <c r="S60" s="1238"/>
      <c r="T60" s="1241" t="s">
        <v>415</v>
      </c>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W60" s="436"/>
      <c r="AX60" s="436" t="str">
        <f t="shared" si="3"/>
        <v>Добавить территорию для дифференциации</v>
      </c>
      <c r="AY60" s="436"/>
      <c r="AZ60" s="436"/>
      <c r="BA60" s="447">
        <v>1</v>
      </c>
    </row>
    <row r="61" spans="1:53" s="2344" customFormat="1" ht="1.1499999999999999" customHeight="1">
      <c r="A61" s="1259" t="s">
        <v>199</v>
      </c>
      <c r="B61" s="1259"/>
      <c r="C61" s="1259"/>
      <c r="D61" s="1259"/>
      <c r="E61" s="2563"/>
      <c r="F61" s="1259"/>
      <c r="G61" s="1259"/>
      <c r="H61" s="1259"/>
      <c r="I61" s="1259"/>
      <c r="J61" s="1259"/>
      <c r="K61" s="1259"/>
      <c r="L61" s="1262"/>
      <c r="M61" s="1237"/>
      <c r="N61" s="1237"/>
      <c r="O61" s="454"/>
      <c r="P61" s="316"/>
      <c r="Q61" s="1260"/>
      <c r="R61" s="316"/>
      <c r="S61" s="1238"/>
      <c r="T61" s="1241" t="s">
        <v>415</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W61" s="436"/>
      <c r="AX61" s="436" t="str">
        <f t="shared" si="3"/>
        <v>Добавить территорию для дифференциации</v>
      </c>
      <c r="AY61" s="436"/>
      <c r="AZ61" s="436"/>
      <c r="BA61" s="447">
        <v>1</v>
      </c>
    </row>
    <row r="62" spans="1:53" s="2344" customFormat="1" ht="1.1499999999999999" customHeight="1">
      <c r="A62" s="1230"/>
      <c r="B62" s="1230"/>
      <c r="C62" s="1230"/>
      <c r="D62" s="1230"/>
      <c r="E62" s="1259"/>
      <c r="F62" s="1230"/>
      <c r="G62" s="1230"/>
      <c r="H62" s="1230"/>
      <c r="I62" s="1230"/>
      <c r="J62" s="1230"/>
      <c r="K62" s="1230"/>
      <c r="L62" s="1255"/>
      <c r="M62" s="1237"/>
      <c r="N62" s="1237"/>
      <c r="P62" s="1232"/>
      <c r="Q62" s="1233"/>
      <c r="R62" s="1232"/>
      <c r="S62" s="1238"/>
      <c r="T62" s="1241" t="s">
        <v>447</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W62" s="719"/>
      <c r="AX62" s="719" t="str">
        <f t="shared" si="3"/>
        <v>Добавить наименование тарифа</v>
      </c>
      <c r="AY62" s="719"/>
      <c r="AZ62" s="719"/>
      <c r="BA62" s="454">
        <v>1</v>
      </c>
    </row>
    <row r="63" spans="1:53" ht="11.45" customHeight="1">
      <c r="M63" s="1076"/>
      <c r="N63" s="1076"/>
      <c r="O63" s="473"/>
      <c r="P63" s="1076"/>
      <c r="Q63" s="1076"/>
      <c r="R63" s="1071"/>
      <c r="S63" s="1071"/>
      <c r="AV63" s="1071"/>
      <c r="AW63" s="1071"/>
      <c r="AX63" s="1071"/>
      <c r="AY63" s="1071"/>
      <c r="AZ63" s="1071"/>
      <c r="BA63" s="1071">
        <v>11</v>
      </c>
    </row>
    <row r="64" spans="1:53" ht="19.899999999999999" customHeight="1">
      <c r="O64" s="473"/>
      <c r="S64" s="1169"/>
      <c r="T64" s="2562"/>
      <c r="U64" s="2562"/>
      <c r="V64" s="2562"/>
      <c r="W64" s="2562"/>
      <c r="X64" s="2562"/>
      <c r="Y64" s="2562"/>
      <c r="Z64" s="2562"/>
      <c r="AA64" s="2562"/>
      <c r="AB64" s="2562"/>
      <c r="AC64" s="2562"/>
      <c r="AD64" s="2562"/>
      <c r="AE64" s="2562"/>
      <c r="AF64" s="2562"/>
      <c r="AG64" s="2562"/>
      <c r="AH64" s="2562"/>
      <c r="AI64" s="2562"/>
      <c r="AJ64" s="2562"/>
      <c r="AK64" s="2562"/>
      <c r="AL64" s="2562"/>
      <c r="AM64" s="2562"/>
      <c r="AN64" s="2562"/>
      <c r="AO64" s="2562"/>
      <c r="AP64" s="2562"/>
      <c r="AQ64" s="2562"/>
      <c r="AR64" s="2562"/>
      <c r="AS64" s="2562"/>
      <c r="AT64" s="2562"/>
      <c r="AU64" s="2562"/>
      <c r="BA64" s="1071">
        <v>19</v>
      </c>
    </row>
    <row r="65" spans="1:53" ht="21" customHeight="1">
      <c r="O65" s="473"/>
      <c r="T65" s="2562"/>
      <c r="U65" s="2562"/>
      <c r="V65" s="2562"/>
      <c r="W65" s="2562"/>
      <c r="X65" s="2562"/>
      <c r="Y65" s="2562"/>
      <c r="Z65" s="2562"/>
      <c r="AA65" s="2562"/>
      <c r="AB65" s="2562"/>
      <c r="AC65" s="2562"/>
      <c r="AD65" s="2562"/>
      <c r="AE65" s="2562"/>
      <c r="AF65" s="2562"/>
      <c r="AG65" s="2562"/>
      <c r="AH65" s="2562"/>
      <c r="AI65" s="2562"/>
      <c r="AJ65" s="2562"/>
      <c r="AK65" s="2562"/>
      <c r="AL65" s="2562"/>
      <c r="AM65" s="2562"/>
      <c r="AN65" s="2562"/>
      <c r="AO65" s="2562"/>
      <c r="AP65" s="2562"/>
      <c r="AQ65" s="2562"/>
      <c r="AR65" s="2562"/>
      <c r="AS65" s="2562"/>
      <c r="AT65" s="2562"/>
      <c r="AU65" s="2562"/>
      <c r="BA65" s="1071">
        <v>20</v>
      </c>
    </row>
    <row r="66" spans="1:53" ht="14.65" customHeight="1">
      <c r="O66" s="473"/>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BA66" s="1071">
        <v>14</v>
      </c>
    </row>
    <row r="67" spans="1:53" ht="19.899999999999999" customHeight="1">
      <c r="O67" s="473"/>
      <c r="T67" s="2562"/>
      <c r="U67" s="2562"/>
      <c r="V67" s="2562"/>
      <c r="W67" s="2562"/>
      <c r="X67" s="2562"/>
      <c r="Y67" s="2562"/>
      <c r="Z67" s="2562"/>
      <c r="AA67" s="2562"/>
      <c r="AB67" s="2562"/>
      <c r="AC67" s="2562"/>
      <c r="AD67" s="2562"/>
      <c r="AE67" s="2562"/>
      <c r="AF67" s="2562"/>
      <c r="AG67" s="2562"/>
      <c r="AH67" s="2562"/>
      <c r="AI67" s="2562"/>
      <c r="AJ67" s="2562"/>
      <c r="AK67" s="2562"/>
      <c r="AL67" s="2562"/>
      <c r="AM67" s="2562"/>
      <c r="AN67" s="2562"/>
      <c r="AO67" s="2562"/>
      <c r="AP67" s="2562"/>
      <c r="AQ67" s="2562"/>
      <c r="AR67" s="2562"/>
      <c r="AS67" s="2562"/>
      <c r="AT67" s="2562"/>
      <c r="AU67" s="2562"/>
      <c r="BA67" s="1071">
        <v>19</v>
      </c>
    </row>
    <row r="68" spans="1:53" ht="16.899999999999999" customHeight="1">
      <c r="O68" s="473"/>
      <c r="T68" s="2562"/>
      <c r="U68" s="2562"/>
      <c r="V68" s="2562"/>
      <c r="W68" s="2562"/>
      <c r="X68" s="2562"/>
      <c r="Y68" s="2562"/>
      <c r="Z68" s="2562"/>
      <c r="AA68" s="2562"/>
      <c r="AB68" s="2562"/>
      <c r="AC68" s="2562"/>
      <c r="AD68" s="2562"/>
      <c r="AE68" s="2562"/>
      <c r="AF68" s="2562"/>
      <c r="AG68" s="2562"/>
      <c r="AH68" s="2562"/>
      <c r="AI68" s="2562"/>
      <c r="AJ68" s="2562"/>
      <c r="AK68" s="2562"/>
      <c r="AL68" s="2562"/>
      <c r="AM68" s="2562"/>
      <c r="AN68" s="2562"/>
      <c r="AO68" s="2562"/>
      <c r="AP68" s="2562"/>
      <c r="AQ68" s="2562"/>
      <c r="AR68" s="2562"/>
      <c r="AS68" s="2562"/>
      <c r="AT68" s="2562"/>
      <c r="AU68" s="2562"/>
      <c r="BA68" s="1071">
        <v>16</v>
      </c>
    </row>
    <row r="69" spans="1:53" ht="14.65" customHeight="1">
      <c r="O69" s="473"/>
      <c r="BA69" s="1071">
        <v>14</v>
      </c>
    </row>
    <row r="70" spans="1:53" ht="22.5" hidden="1" customHeight="1">
      <c r="A70" s="1076" t="s">
        <v>82</v>
      </c>
      <c r="B70" s="1076">
        <v>0</v>
      </c>
      <c r="C70" s="1076">
        <v>0</v>
      </c>
      <c r="D70" s="1076">
        <v>0</v>
      </c>
      <c r="E70" s="1076">
        <v>0</v>
      </c>
      <c r="F70" s="1076">
        <v>0</v>
      </c>
      <c r="G70" s="1076">
        <v>0</v>
      </c>
      <c r="H70" s="1076">
        <v>0</v>
      </c>
      <c r="I70" s="1076">
        <v>0</v>
      </c>
      <c r="J70" s="1076">
        <v>0</v>
      </c>
      <c r="K70" s="1076">
        <v>0</v>
      </c>
      <c r="L70" s="1245">
        <v>0</v>
      </c>
      <c r="M70" s="1278">
        <v>0</v>
      </c>
      <c r="N70" s="1278">
        <v>0</v>
      </c>
      <c r="O70" s="1278">
        <v>0</v>
      </c>
      <c r="P70" s="1278">
        <v>3</v>
      </c>
      <c r="Q70" s="1287">
        <v>3</v>
      </c>
      <c r="R70" s="281">
        <v>3</v>
      </c>
      <c r="S70" s="517">
        <v>12</v>
      </c>
      <c r="T70" s="1071">
        <v>31</v>
      </c>
      <c r="U70" s="1071">
        <v>0</v>
      </c>
      <c r="V70" s="1071">
        <v>0</v>
      </c>
      <c r="W70" s="1071">
        <v>0</v>
      </c>
      <c r="X70" s="1071">
        <v>0</v>
      </c>
      <c r="Y70" s="1071">
        <v>0</v>
      </c>
      <c r="Z70" s="1071">
        <v>0</v>
      </c>
      <c r="AA70" s="1071">
        <v>0</v>
      </c>
      <c r="AB70" s="1071">
        <v>5</v>
      </c>
      <c r="AC70" s="1071">
        <v>3</v>
      </c>
      <c r="AD70" s="1071">
        <v>3</v>
      </c>
      <c r="AE70" s="1071">
        <v>24</v>
      </c>
      <c r="AF70" s="1071">
        <v>3</v>
      </c>
      <c r="AG70" s="1071">
        <v>3</v>
      </c>
      <c r="AH70" s="1071">
        <v>3</v>
      </c>
      <c r="AI70" s="1071">
        <v>24</v>
      </c>
      <c r="AJ70" s="1071">
        <v>3</v>
      </c>
      <c r="AK70" s="1071">
        <v>3</v>
      </c>
      <c r="AL70" s="1071">
        <v>3</v>
      </c>
      <c r="AM70" s="1071">
        <v>18</v>
      </c>
      <c r="AN70" s="1071">
        <v>21</v>
      </c>
      <c r="AO70" s="1071">
        <v>21</v>
      </c>
      <c r="AP70" s="1071">
        <v>11</v>
      </c>
      <c r="AQ70" s="1071">
        <v>3</v>
      </c>
      <c r="AR70" s="1071">
        <v>11</v>
      </c>
      <c r="AS70" s="1071">
        <v>8</v>
      </c>
      <c r="AT70" s="1071">
        <v>4</v>
      </c>
      <c r="AU70" s="1071">
        <v>115</v>
      </c>
      <c r="AV70" s="447">
        <v>10</v>
      </c>
      <c r="AW70" s="447">
        <v>10</v>
      </c>
      <c r="AX70" s="447">
        <v>10</v>
      </c>
      <c r="AY70" s="447">
        <v>10</v>
      </c>
      <c r="AZ70" s="447">
        <v>10</v>
      </c>
      <c r="BA70" s="107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4.140625" style="2357" hidden="1" customWidth="1"/>
    <col min="10" max="10" width="9.85546875" style="2357" hidden="1" customWidth="1"/>
    <col min="11" max="11" width="14.710937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4" width="24.7109375" style="2360" hidden="1" customWidth="1"/>
    <col min="25" max="25" width="11.7109375" style="2360" hidden="1" customWidth="1"/>
    <col min="26" max="26" width="3.7109375" style="2360" hidden="1" customWidth="1"/>
    <col min="27" max="27" width="11.7109375" style="2360" hidden="1" customWidth="1"/>
    <col min="28" max="28" width="8.5703125" style="2360" hidden="1" customWidth="1"/>
    <col min="29" max="29" width="24.7109375" style="2360" customWidth="1"/>
    <col min="30" max="31" width="24" style="2360" customWidth="1"/>
    <col min="32" max="32" width="11" style="2360" customWidth="1"/>
    <col min="33" max="33" width="3.7109375" style="2360" customWidth="1"/>
    <col min="34" max="34" width="11" style="2360" customWidth="1"/>
    <col min="35" max="35" width="8.5703125" style="2360" hidden="1" customWidth="1"/>
    <col min="36" max="36" width="4" style="2360" customWidth="1"/>
    <col min="37" max="37" width="115" style="2360" customWidth="1"/>
    <col min="38" max="42" width="10" style="2344" customWidth="1"/>
    <col min="43" max="43" width="10.5703125" style="2360" hidden="1"/>
  </cols>
  <sheetData>
    <row r="1" spans="1:43" ht="22.5" hidden="1" customHeight="1">
      <c r="X1" s="264"/>
      <c r="Y1" s="264"/>
      <c r="AE1" s="264"/>
      <c r="AF1" s="264"/>
      <c r="AQ1" s="1071" t="s">
        <v>14</v>
      </c>
    </row>
    <row r="2" spans="1:43" ht="23.25" hidden="1" customHeight="1">
      <c r="A2" s="1279"/>
      <c r="B2" s="1279"/>
      <c r="C2" s="1279"/>
      <c r="D2" s="1279"/>
      <c r="E2" s="2563">
        <v>1</v>
      </c>
      <c r="F2" s="1279"/>
      <c r="G2" s="1279"/>
      <c r="H2" s="1279"/>
      <c r="I2" s="1279"/>
      <c r="J2" s="1279"/>
      <c r="K2" s="1279"/>
      <c r="L2" s="1280"/>
      <c r="M2" s="1281"/>
      <c r="N2" s="1281"/>
      <c r="O2" s="1281"/>
      <c r="P2" s="297"/>
      <c r="Q2" s="296"/>
      <c r="R2" s="291"/>
      <c r="S2" s="1341" t="e">
        <f>INDEX(PT_DIFFERENTIATION_NUM_NTAR,MATCH(A2,PT_DIFFERENTIATION_NTAR_ID,0))</f>
        <v>#N/A</v>
      </c>
      <c r="T2" s="235" t="s">
        <v>124</v>
      </c>
      <c r="U2" s="237"/>
      <c r="V2" s="2557"/>
      <c r="W2" s="2558"/>
      <c r="X2" s="2558"/>
      <c r="Y2" s="2558"/>
      <c r="Z2" s="2558"/>
      <c r="AA2" s="2558"/>
      <c r="AB2" s="2559"/>
      <c r="AC2" s="2557" t="e">
        <f>INDEX(PT_DIFFERENTIATION_NTAR,MATCH(A2,PT_DIFFERENTIATION_NTAR_ID,0))</f>
        <v>#N/A</v>
      </c>
      <c r="AD2" s="2558"/>
      <c r="AE2" s="2558"/>
      <c r="AF2" s="2558"/>
      <c r="AG2" s="2558"/>
      <c r="AH2" s="2558"/>
      <c r="AI2" s="2558"/>
      <c r="AJ2" s="255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564"/>
      <c r="F3" s="2563">
        <v>1</v>
      </c>
      <c r="G3" s="1279"/>
      <c r="H3" s="1279"/>
      <c r="I3" s="1279"/>
      <c r="J3" s="1279"/>
      <c r="K3" s="1279"/>
      <c r="L3" s="1280"/>
      <c r="M3" s="1281"/>
      <c r="N3" s="1281"/>
      <c r="O3" s="1281"/>
      <c r="P3" s="1339"/>
      <c r="Q3" s="288"/>
      <c r="R3" s="289"/>
      <c r="S3" s="1341" t="e">
        <f>INDEX(PT_DIFFERENTIATION_NUM_TER,MATCH(B3,PT_DIFFERENTIATION_TER_ID,0))</f>
        <v>#N/A</v>
      </c>
      <c r="T3" s="245" t="s">
        <v>396</v>
      </c>
      <c r="U3" s="237"/>
      <c r="V3" s="2557"/>
      <c r="W3" s="2558"/>
      <c r="X3" s="2558"/>
      <c r="Y3" s="2558"/>
      <c r="Z3" s="2558"/>
      <c r="AA3" s="2558"/>
      <c r="AB3" s="2559"/>
      <c r="AC3" s="2557" t="e">
        <f>INDEX(PT_DIFFERENTIATION_TER,MATCH(B3,PT_DIFFERENTIATION_TER_ID,0))</f>
        <v>#N/A</v>
      </c>
      <c r="AD3" s="2558"/>
      <c r="AE3" s="2558"/>
      <c r="AF3" s="2558"/>
      <c r="AG3" s="2558"/>
      <c r="AH3" s="2558"/>
      <c r="AI3" s="2558"/>
      <c r="AJ3" s="2559"/>
      <c r="AK3" s="1174" t="s">
        <v>397</v>
      </c>
      <c r="AM3" s="436"/>
      <c r="AN3" s="436" t="str">
        <f t="shared" si="0"/>
        <v>Территория действия тарифа</v>
      </c>
      <c r="AO3" s="436"/>
      <c r="AP3" s="436"/>
      <c r="AQ3" s="1071">
        <v>0</v>
      </c>
    </row>
    <row r="4" spans="1:43" ht="23.25" hidden="1" customHeight="1">
      <c r="A4" s="1279"/>
      <c r="B4" s="1279"/>
      <c r="C4" s="1279"/>
      <c r="D4" s="1279"/>
      <c r="E4" s="2564"/>
      <c r="F4" s="2564"/>
      <c r="G4" s="2563">
        <v>1</v>
      </c>
      <c r="H4" s="1279"/>
      <c r="I4" s="1279"/>
      <c r="J4" s="1279"/>
      <c r="K4" s="1279"/>
      <c r="L4" s="1280"/>
      <c r="M4" s="1281"/>
      <c r="N4" s="1281"/>
      <c r="O4" s="1281"/>
      <c r="P4" s="290"/>
      <c r="Q4" s="288"/>
      <c r="R4" s="289"/>
      <c r="S4" s="1341" t="e">
        <f>INDEX(PT_DIFFERENTIATION_NUM_CS,MATCH(C4,PT_DIFFERENTIATION_CS_ID,0))</f>
        <v>#N/A</v>
      </c>
      <c r="T4" s="246" t="s">
        <v>480</v>
      </c>
      <c r="U4" s="237"/>
      <c r="V4" s="2557"/>
      <c r="W4" s="2558"/>
      <c r="X4" s="2558"/>
      <c r="Y4" s="2558"/>
      <c r="Z4" s="2558"/>
      <c r="AA4" s="2558"/>
      <c r="AB4" s="2559"/>
      <c r="AC4" s="2557" t="e">
        <f>INDEX(PT_DIFFERENTIATION_CS,MATCH(C4,PT_DIFFERENTIATION_CS_ID,0))</f>
        <v>#N/A</v>
      </c>
      <c r="AD4" s="2558"/>
      <c r="AE4" s="2558"/>
      <c r="AF4" s="2558"/>
      <c r="AG4" s="2558"/>
      <c r="AH4" s="2558"/>
      <c r="AI4" s="2558"/>
      <c r="AJ4" s="2559"/>
      <c r="AK4" s="1174" t="s">
        <v>481</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564"/>
      <c r="F5" s="2564"/>
      <c r="G5" s="2564"/>
      <c r="H5" s="2564"/>
      <c r="I5" s="2565" t="e">
        <f>S4&amp;".1"</f>
        <v>#N/A</v>
      </c>
      <c r="J5" s="1279"/>
      <c r="K5" s="1279"/>
      <c r="L5" s="1280"/>
      <c r="P5" s="2567">
        <v>1</v>
      </c>
      <c r="Q5" s="1338"/>
      <c r="R5" s="292"/>
      <c r="S5" s="1341" t="e">
        <f>$I5</f>
        <v>#N/A</v>
      </c>
      <c r="T5" s="222" t="s">
        <v>482</v>
      </c>
      <c r="U5" s="237"/>
      <c r="V5" s="2631"/>
      <c r="W5" s="2632"/>
      <c r="X5" s="2632"/>
      <c r="Y5" s="2632"/>
      <c r="Z5" s="2632"/>
      <c r="AA5" s="2632"/>
      <c r="AB5" s="2633"/>
      <c r="AC5" s="2634"/>
      <c r="AD5" s="2635"/>
      <c r="AE5" s="2635"/>
      <c r="AF5" s="2635"/>
      <c r="AG5" s="2635"/>
      <c r="AH5" s="2635"/>
      <c r="AI5" s="2635"/>
      <c r="AJ5" s="2636"/>
      <c r="AK5" s="1174" t="s">
        <v>483</v>
      </c>
      <c r="AM5" s="436"/>
      <c r="AN5" s="436" t="str">
        <f t="shared" si="0"/>
        <v>Наименование признака дифференциации</v>
      </c>
      <c r="AO5" s="436"/>
      <c r="AP5" s="436"/>
      <c r="AQ5" s="1071">
        <v>0</v>
      </c>
    </row>
    <row r="6" spans="1:43" ht="23.25" hidden="1" customHeight="1">
      <c r="A6" s="1279"/>
      <c r="B6" s="1279"/>
      <c r="C6" s="1279"/>
      <c r="D6" s="1279"/>
      <c r="E6" s="2564"/>
      <c r="F6" s="2564"/>
      <c r="G6" s="2564"/>
      <c r="H6" s="2564"/>
      <c r="I6" s="2566"/>
      <c r="J6" s="2565" t="e">
        <f>I5&amp;".1"</f>
        <v>#N/A</v>
      </c>
      <c r="K6" s="1279"/>
      <c r="L6" s="1280" t="s">
        <v>405</v>
      </c>
      <c r="P6" s="2567"/>
      <c r="Q6" s="2567">
        <v>1</v>
      </c>
      <c r="R6" s="293"/>
      <c r="S6" s="1341" t="e">
        <f>$J6</f>
        <v>#N/A</v>
      </c>
      <c r="T6" s="223" t="s">
        <v>406</v>
      </c>
      <c r="U6" s="237"/>
      <c r="V6" s="2551"/>
      <c r="W6" s="2552"/>
      <c r="X6" s="2552"/>
      <c r="Y6" s="2552"/>
      <c r="Z6" s="2552"/>
      <c r="AA6" s="2552"/>
      <c r="AB6" s="2553"/>
      <c r="AC6" s="2551"/>
      <c r="AD6" s="2552"/>
      <c r="AE6" s="2552"/>
      <c r="AF6" s="2552"/>
      <c r="AG6" s="2552"/>
      <c r="AH6" s="2552"/>
      <c r="AI6" s="2552"/>
      <c r="AJ6" s="2553"/>
      <c r="AK6" s="1223" t="s">
        <v>484</v>
      </c>
      <c r="AM6" s="436"/>
      <c r="AN6" s="436" t="str">
        <f t="shared" si="0"/>
        <v>Группа потребителей</v>
      </c>
      <c r="AO6" s="436"/>
      <c r="AP6" s="436"/>
      <c r="AQ6" s="1071">
        <v>0</v>
      </c>
    </row>
    <row r="7" spans="1:43" ht="23.25" hidden="1" customHeight="1">
      <c r="A7" s="1279"/>
      <c r="B7" s="1279"/>
      <c r="C7" s="1279"/>
      <c r="D7" s="1279"/>
      <c r="E7" s="2564"/>
      <c r="F7" s="2564"/>
      <c r="G7" s="2564"/>
      <c r="H7" s="2564"/>
      <c r="I7" s="2566"/>
      <c r="J7" s="2566"/>
      <c r="K7" s="2565" t="e">
        <f>J6&amp;".1"</f>
        <v>#N/A</v>
      </c>
      <c r="L7" s="1280"/>
      <c r="P7" s="2567"/>
      <c r="Q7" s="2567"/>
      <c r="R7" s="293">
        <v>1</v>
      </c>
      <c r="S7" s="1341" t="e">
        <f>$K7</f>
        <v>#N/A</v>
      </c>
      <c r="T7" s="1353"/>
      <c r="U7" s="237"/>
      <c r="V7" s="687"/>
      <c r="W7" s="687"/>
      <c r="X7" s="1173"/>
      <c r="Y7" s="2568"/>
      <c r="Z7" s="2445" t="s">
        <v>62</v>
      </c>
      <c r="AA7" s="2568"/>
      <c r="AB7" s="2445" t="s">
        <v>62</v>
      </c>
      <c r="AC7" s="687"/>
      <c r="AD7" s="687"/>
      <c r="AE7" s="1173"/>
      <c r="AF7" s="2568"/>
      <c r="AG7" s="2445" t="s">
        <v>62</v>
      </c>
      <c r="AH7" s="2570"/>
      <c r="AI7" s="2445" t="s">
        <v>62</v>
      </c>
      <c r="AJ7" s="1354"/>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564"/>
      <c r="F8" s="2564"/>
      <c r="G8" s="2564"/>
      <c r="H8" s="2564"/>
      <c r="I8" s="2566"/>
      <c r="J8" s="2566"/>
      <c r="K8" s="2565"/>
      <c r="L8" s="1280"/>
      <c r="P8" s="2567"/>
      <c r="Q8" s="2567"/>
      <c r="R8" s="293"/>
      <c r="S8" s="1340"/>
      <c r="T8" s="237"/>
      <c r="U8" s="237"/>
      <c r="V8" s="262"/>
      <c r="W8" s="262"/>
      <c r="X8" s="265" t="str">
        <f>Y7&amp;"-"&amp;AA7</f>
        <v>-</v>
      </c>
      <c r="Y8" s="2569"/>
      <c r="Z8" s="2445"/>
      <c r="AA8" s="2569"/>
      <c r="AB8" s="2445"/>
      <c r="AC8" s="262"/>
      <c r="AD8" s="262"/>
      <c r="AE8" s="265" t="str">
        <f>AF7&amp;"-"&amp;AH7</f>
        <v>-</v>
      </c>
      <c r="AF8" s="2569"/>
      <c r="AG8" s="2445"/>
      <c r="AH8" s="2571"/>
      <c r="AI8" s="2445"/>
      <c r="AJ8" s="1355"/>
      <c r="AK8" s="2637"/>
      <c r="AM8" s="436"/>
      <c r="AN8" s="436" t="str">
        <f t="shared" si="0"/>
        <v/>
      </c>
      <c r="AO8" s="436"/>
      <c r="AP8" s="436"/>
      <c r="AQ8" s="1071">
        <v>0</v>
      </c>
    </row>
    <row r="9" spans="1:43" ht="21" hidden="1" customHeight="1">
      <c r="A9" s="1279"/>
      <c r="B9" s="1279"/>
      <c r="C9" s="1279"/>
      <c r="D9" s="1279"/>
      <c r="E9" s="2564"/>
      <c r="F9" s="2564"/>
      <c r="G9" s="2564"/>
      <c r="H9" s="2564"/>
      <c r="I9" s="2566"/>
      <c r="J9" s="2565"/>
      <c r="K9" s="1279"/>
      <c r="L9" s="1280"/>
      <c r="P9" s="2567"/>
      <c r="Q9" s="2567"/>
      <c r="R9" s="292"/>
      <c r="S9" s="1194"/>
      <c r="T9" s="224" t="s">
        <v>485</v>
      </c>
      <c r="U9" s="303"/>
      <c r="V9" s="303"/>
      <c r="W9" s="303"/>
      <c r="X9" s="303"/>
      <c r="Y9" s="303"/>
      <c r="Z9" s="303"/>
      <c r="AA9" s="303"/>
      <c r="AB9" s="303"/>
      <c r="AC9" s="303"/>
      <c r="AD9" s="303"/>
      <c r="AE9" s="303"/>
      <c r="AF9" s="303"/>
      <c r="AG9" s="303"/>
      <c r="AH9" s="303"/>
      <c r="AI9" s="303"/>
      <c r="AJ9" s="303"/>
      <c r="AK9" s="1174" t="s">
        <v>486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564"/>
      <c r="F10" s="2564"/>
      <c r="G10" s="2564"/>
      <c r="H10" s="2564"/>
      <c r="I10" s="2565"/>
      <c r="J10" s="1279"/>
      <c r="K10" s="1279"/>
      <c r="L10" s="1280"/>
      <c r="P10" s="2567"/>
      <c r="Q10" s="1338"/>
      <c r="R10" s="292"/>
      <c r="S10" s="1194"/>
      <c r="T10" s="301" t="s">
        <v>411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14.25" hidden="1" customHeight="1">
      <c r="A11" s="1279"/>
      <c r="B11" s="1279"/>
      <c r="C11" s="1279"/>
      <c r="D11" s="1279"/>
      <c r="E11" s="2564"/>
      <c r="F11" s="2564"/>
      <c r="G11" s="2564"/>
      <c r="H11" s="2563"/>
      <c r="I11" s="1279"/>
      <c r="J11" s="1279"/>
      <c r="K11" s="1279"/>
      <c r="L11" s="1280"/>
      <c r="M11" s="1281"/>
      <c r="N11" s="1281"/>
      <c r="O11" s="473"/>
      <c r="P11" s="296"/>
      <c r="Q11" s="311"/>
      <c r="R11" s="291"/>
      <c r="S11" s="119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344" customFormat="1" ht="14.25" hidden="1" customHeight="1">
      <c r="A12" s="1259"/>
      <c r="B12" s="1259"/>
      <c r="C12" s="1230"/>
      <c r="D12" s="1230"/>
      <c r="E12" s="2564"/>
      <c r="F12" s="2563"/>
      <c r="G12" s="1230"/>
      <c r="H12" s="1230"/>
      <c r="I12" s="1230"/>
      <c r="J12" s="1230"/>
      <c r="K12" s="1230"/>
      <c r="L12" s="1342"/>
      <c r="M12" s="1237"/>
      <c r="N12" s="1237"/>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344" customFormat="1" ht="14.25" hidden="1" customHeight="1">
      <c r="A13" s="1259"/>
      <c r="B13" s="1259"/>
      <c r="C13" s="1259"/>
      <c r="D13" s="1259"/>
      <c r="E13" s="2563"/>
      <c r="F13" s="1259"/>
      <c r="G13" s="1259"/>
      <c r="H13" s="1259"/>
      <c r="I13" s="1259"/>
      <c r="J13" s="1259"/>
      <c r="K13" s="1259"/>
      <c r="L13" s="1262"/>
      <c r="M13" s="1237"/>
      <c r="N13" s="1237"/>
      <c r="O13" s="454"/>
      <c r="P13" s="316"/>
      <c r="Q13" s="1260"/>
      <c r="R13" s="316"/>
      <c r="S13" s="1238"/>
      <c r="T13" s="1241" t="s">
        <v>415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61"/>
      <c r="AG15" s="2560" t="s">
        <v>62</v>
      </c>
      <c r="AH15" s="2561"/>
      <c r="AI15" s="2560" t="s">
        <v>62</v>
      </c>
      <c r="AQ15" s="1071">
        <v>0</v>
      </c>
    </row>
    <row r="16" spans="1:43" ht="14.25" hidden="1" customHeight="1">
      <c r="AC16" s="1276"/>
      <c r="AD16" s="1276"/>
      <c r="AE16" s="265" t="str">
        <f>AF15&amp;"-"&amp;AH15</f>
        <v>-</v>
      </c>
      <c r="AF16" s="2560"/>
      <c r="AG16" s="2560"/>
      <c r="AH16" s="2560"/>
      <c r="AI16" s="2560"/>
      <c r="AQ16" s="1071">
        <v>0</v>
      </c>
    </row>
    <row r="17" spans="1:43" ht="14.25" hidden="1" customHeight="1">
      <c r="AI17" s="264"/>
      <c r="AQ17" s="1071">
        <v>0</v>
      </c>
    </row>
    <row r="18" spans="1:43" s="2357" customFormat="1" ht="22.5" hidden="1" customHeight="1">
      <c r="L18" s="1337"/>
      <c r="M18" s="1278"/>
      <c r="N18" s="1278"/>
      <c r="O18" s="1283" t="s">
        <v>416</v>
      </c>
      <c r="P18" s="1278"/>
      <c r="Q18" s="1287"/>
      <c r="R18" s="1287"/>
      <c r="S18" s="665"/>
      <c r="Y18" s="1283"/>
      <c r="AA18" s="1283"/>
      <c r="AB18" s="1282"/>
      <c r="AF18" s="1283"/>
      <c r="AH18" s="1283"/>
      <c r="AI18" s="1282"/>
      <c r="AL18" s="447"/>
      <c r="AM18" s="447"/>
      <c r="AN18" s="447"/>
      <c r="AO18" s="447"/>
      <c r="AP18" s="447"/>
      <c r="AQ18" s="1076">
        <v>0</v>
      </c>
    </row>
    <row r="19" spans="1:43" s="2357" customFormat="1" ht="14.25" hidden="1" customHeight="1">
      <c r="L19" s="1337"/>
      <c r="M19" s="1278"/>
      <c r="N19" s="1278"/>
      <c r="O19" s="1278"/>
      <c r="P19" s="1278"/>
      <c r="Q19" s="1287"/>
      <c r="R19" s="1287"/>
      <c r="S19" s="665"/>
      <c r="AB19" s="1282"/>
      <c r="AI19" s="1282"/>
      <c r="AL19" s="447"/>
      <c r="AM19" s="447"/>
      <c r="AN19" s="447"/>
      <c r="AO19" s="447"/>
      <c r="AP19" s="447"/>
      <c r="AQ19" s="1076">
        <v>0</v>
      </c>
    </row>
    <row r="20" spans="1:43" s="2357" customFormat="1" ht="12" hidden="1" customHeight="1">
      <c r="L20" s="1337"/>
      <c r="M20" s="1278"/>
      <c r="N20" s="1278"/>
      <c r="O20" s="1280" t="s">
        <v>417</v>
      </c>
      <c r="P20" s="1278"/>
      <c r="Q20" s="1358"/>
      <c r="R20" s="1358"/>
      <c r="S20" s="665"/>
      <c r="T20" s="1076" t="s">
        <v>418</v>
      </c>
      <c r="Z20" s="123" t="s">
        <v>419</v>
      </c>
      <c r="AB20" s="123" t="s">
        <v>420</v>
      </c>
      <c r="AC20" s="1076" t="s">
        <v>418</v>
      </c>
      <c r="AG20" s="123" t="s">
        <v>421</v>
      </c>
      <c r="AI20" s="123" t="s">
        <v>420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9"/>
      <c r="AQ24" s="1071">
        <v>14</v>
      </c>
    </row>
    <row r="25" spans="1:43" ht="14.65" customHeight="1">
      <c r="Q25" s="312"/>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380" customFormat="1" ht="25.5" hidden="1" customHeight="1">
      <c r="A27" s="1284"/>
      <c r="B27" s="1284"/>
      <c r="C27" s="1284"/>
      <c r="D27" s="1284"/>
      <c r="E27" s="1284"/>
      <c r="F27" s="1284"/>
      <c r="G27" s="1284"/>
      <c r="H27" s="1284"/>
      <c r="I27" s="1284"/>
      <c r="J27" s="1284"/>
      <c r="K27" s="1284"/>
      <c r="L27" s="1285"/>
      <c r="M27" s="1284"/>
      <c r="N27" s="1284"/>
      <c r="O27" s="1284"/>
      <c r="S27" s="2554" t="s">
        <v>41</v>
      </c>
      <c r="T27" s="2554"/>
      <c r="U27" s="1288"/>
      <c r="V27" s="2556" t="str">
        <f>IF(TITLE_NAME_OR_PR_CHANGE="",IF(TITLE_NAME_OR_PR="","",TITLE_NAME_OR_PR),TITLE_NAME_OR_PR_CHANGE)</f>
        <v/>
      </c>
      <c r="W27" s="2556"/>
      <c r="X27" s="2556"/>
      <c r="Y27" s="2556"/>
      <c r="Z27" s="2556"/>
      <c r="AA27" s="2556"/>
      <c r="AB27" s="263"/>
      <c r="AC27" s="2556" t="str">
        <f>IF(TITLE_NAME_OR_PR_CHANGE="",IF(TITLE_NAME_OR_PR="","",TITLE_NAME_OR_PR),TITLE_NAME_OR_PR_CHANGE)</f>
        <v/>
      </c>
      <c r="AD27" s="2556"/>
      <c r="AE27" s="2556"/>
      <c r="AF27" s="2556"/>
      <c r="AG27" s="2556"/>
      <c r="AH27" s="2556"/>
      <c r="AI27" s="263"/>
      <c r="AJ27" s="263"/>
      <c r="AK27" s="217"/>
      <c r="AL27" s="304"/>
      <c r="AM27" s="304"/>
      <c r="AN27" s="304"/>
      <c r="AO27" s="304"/>
      <c r="AP27" s="304"/>
      <c r="AQ27" s="354">
        <v>0</v>
      </c>
    </row>
    <row r="28" spans="1:43" s="2380" customFormat="1" ht="18.75" hidden="1" customHeight="1">
      <c r="A28" s="1284"/>
      <c r="B28" s="1284"/>
      <c r="C28" s="1284"/>
      <c r="D28" s="1284"/>
      <c r="E28" s="1284"/>
      <c r="F28" s="1284"/>
      <c r="G28" s="1284"/>
      <c r="H28" s="1284"/>
      <c r="I28" s="1284"/>
      <c r="J28" s="1284"/>
      <c r="K28" s="1284"/>
      <c r="L28" s="1285"/>
      <c r="M28" s="1284"/>
      <c r="N28" s="1284"/>
      <c r="O28" s="1284"/>
      <c r="S28" s="2554" t="s">
        <v>422</v>
      </c>
      <c r="T28" s="2554"/>
      <c r="U28" s="1288"/>
      <c r="V28" s="2555" t="str">
        <f>IF(TITLE_DATE_PR_CHANGE="",IF(TITLE_DATE_PR="","",TITLE_DATE_PR),TITLE_DATE_PR_CHANGE)</f>
        <v/>
      </c>
      <c r="W28" s="2555"/>
      <c r="X28" s="2555"/>
      <c r="Y28" s="2555"/>
      <c r="Z28" s="2555"/>
      <c r="AA28" s="2555"/>
      <c r="AB28" s="263"/>
      <c r="AC28" s="2555" t="str">
        <f>IF(TITLE_DATE_PR_CHANGE="",IF(TITLE_DATE_PR="","",TITLE_DATE_PR),TITLE_DATE_PR_CHANGE)</f>
        <v/>
      </c>
      <c r="AD28" s="2555"/>
      <c r="AE28" s="2555"/>
      <c r="AF28" s="2555"/>
      <c r="AG28" s="2555"/>
      <c r="AH28" s="2555"/>
      <c r="AI28" s="263"/>
      <c r="AJ28" s="263"/>
      <c r="AK28" s="217"/>
      <c r="AL28" s="304"/>
      <c r="AM28" s="304"/>
      <c r="AN28" s="304"/>
      <c r="AO28" s="304"/>
      <c r="AP28" s="304"/>
      <c r="AQ28" s="354">
        <v>0</v>
      </c>
    </row>
    <row r="29" spans="1:43" s="2380" customFormat="1" ht="18.75" hidden="1" customHeight="1">
      <c r="A29" s="1284"/>
      <c r="B29" s="1284"/>
      <c r="C29" s="1284"/>
      <c r="D29" s="1284"/>
      <c r="E29" s="1284"/>
      <c r="F29" s="1284"/>
      <c r="G29" s="1284"/>
      <c r="H29" s="1284"/>
      <c r="I29" s="1284"/>
      <c r="J29" s="1284"/>
      <c r="K29" s="1284"/>
      <c r="L29" s="1285"/>
      <c r="M29" s="1284"/>
      <c r="N29" s="1284"/>
      <c r="O29" s="1284"/>
      <c r="S29" s="2554" t="s">
        <v>423</v>
      </c>
      <c r="T29" s="2554"/>
      <c r="U29" s="1288"/>
      <c r="V29" s="2556" t="str">
        <f>IF(TITLE_NUMBER_PR_CHANGE="",IF(TITLE_NUMBER_PR="","",TITLE_NUMBER_PR),TITLE_NUMBER_PR_CHANGE)</f>
        <v/>
      </c>
      <c r="W29" s="2556"/>
      <c r="X29" s="2556"/>
      <c r="Y29" s="2556"/>
      <c r="Z29" s="2556"/>
      <c r="AA29" s="2556"/>
      <c r="AB29" s="263"/>
      <c r="AC29" s="2556" t="str">
        <f>IF(TITLE_NUMBER_PR_CHANGE="",IF(TITLE_NUMBER_PR="","",TITLE_NUMBER_PR),TITLE_NUMBER_PR_CHANGE)</f>
        <v/>
      </c>
      <c r="AD29" s="2556"/>
      <c r="AE29" s="2556"/>
      <c r="AF29" s="2556"/>
      <c r="AG29" s="2556"/>
      <c r="AH29" s="2556"/>
      <c r="AI29" s="263"/>
      <c r="AJ29" s="263"/>
      <c r="AK29" s="217"/>
      <c r="AL29" s="304"/>
      <c r="AM29" s="304"/>
      <c r="AN29" s="304"/>
      <c r="AO29" s="304"/>
      <c r="AP29" s="304"/>
      <c r="AQ29" s="354">
        <v>0</v>
      </c>
    </row>
    <row r="30" spans="1:43" s="2380" customFormat="1" ht="18.75" hidden="1" customHeight="1">
      <c r="A30" s="1284"/>
      <c r="B30" s="1284"/>
      <c r="C30" s="1284"/>
      <c r="D30" s="1284"/>
      <c r="E30" s="1284"/>
      <c r="F30" s="1284"/>
      <c r="G30" s="1284"/>
      <c r="H30" s="1284"/>
      <c r="I30" s="1284"/>
      <c r="J30" s="1284"/>
      <c r="K30" s="1284"/>
      <c r="L30" s="1285"/>
      <c r="M30" s="1284"/>
      <c r="N30" s="1284"/>
      <c r="O30" s="1284"/>
      <c r="S30" s="2554" t="s">
        <v>42</v>
      </c>
      <c r="T30" s="2554"/>
      <c r="U30" s="1288"/>
      <c r="V30" s="2556" t="str">
        <f>IF(TITLE_IST_PUB_CHANGE="",IF(TITLE_IST_PUB="","",TITLE_IST_PUB),TITLE_IST_PUB_CHANGE)</f>
        <v/>
      </c>
      <c r="W30" s="2556"/>
      <c r="X30" s="2556"/>
      <c r="Y30" s="2556"/>
      <c r="Z30" s="2556"/>
      <c r="AA30" s="2556"/>
      <c r="AB30" s="263"/>
      <c r="AC30" s="2556" t="str">
        <f>IF(TITLE_IST_PUB_CHANGE="",IF(TITLE_IST_PUB="","",TITLE_IST_PUB),TITLE_IST_PUB_CHANGE)</f>
        <v/>
      </c>
      <c r="AD30" s="2556"/>
      <c r="AE30" s="2556"/>
      <c r="AF30" s="2556"/>
      <c r="AG30" s="2556"/>
      <c r="AH30" s="2556"/>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380" customFormat="1" ht="18.75" hidden="1" customHeight="1">
      <c r="A32" s="1284"/>
      <c r="B32" s="1284"/>
      <c r="C32" s="1284"/>
      <c r="D32" s="1284"/>
      <c r="E32" s="1284"/>
      <c r="F32" s="1284"/>
      <c r="G32" s="1284"/>
      <c r="H32" s="1284"/>
      <c r="I32" s="1284"/>
      <c r="J32" s="1284"/>
      <c r="K32" s="1284"/>
      <c r="L32" s="1285"/>
      <c r="M32" s="1284"/>
      <c r="N32" s="1284"/>
      <c r="O32" s="1284"/>
      <c r="S32" s="2554" t="s">
        <v>424</v>
      </c>
      <c r="T32" s="2554"/>
      <c r="U32" s="1288"/>
      <c r="V32" s="2555" t="str">
        <f>IF(TITLE_DATE_PR_CHANGE="",IF(TITLE_DATE_PR="","",TITLE_DATE_PR),TITLE_DATE_PR_CHANGE)</f>
        <v/>
      </c>
      <c r="W32" s="2555"/>
      <c r="X32" s="2555"/>
      <c r="Y32" s="2555"/>
      <c r="Z32" s="2555"/>
      <c r="AA32" s="2555"/>
      <c r="AB32" s="263"/>
      <c r="AC32" s="2555" t="str">
        <f>IF(TITLE_DATE_PR_CHANGE="",IF(TITLE_DATE_PR="","",TITLE_DATE_PR),TITLE_DATE_PR_CHANGE)</f>
        <v/>
      </c>
      <c r="AD32" s="2555"/>
      <c r="AE32" s="2555"/>
      <c r="AF32" s="2555"/>
      <c r="AG32" s="2555"/>
      <c r="AH32" s="2555"/>
      <c r="AI32" s="263"/>
      <c r="AJ32" s="263"/>
      <c r="AK32" s="217"/>
      <c r="AL32" s="304"/>
      <c r="AM32" s="304"/>
      <c r="AN32" s="304"/>
      <c r="AO32" s="304"/>
      <c r="AP32" s="304"/>
      <c r="AQ32" s="354">
        <v>0</v>
      </c>
    </row>
    <row r="33" spans="1:43" s="2380" customFormat="1" ht="18.75" hidden="1" customHeight="1">
      <c r="A33" s="1284"/>
      <c r="B33" s="1284"/>
      <c r="C33" s="1284"/>
      <c r="D33" s="1284"/>
      <c r="E33" s="1284"/>
      <c r="F33" s="1284"/>
      <c r="G33" s="1284"/>
      <c r="H33" s="1284"/>
      <c r="I33" s="1284"/>
      <c r="J33" s="1284"/>
      <c r="K33" s="1284"/>
      <c r="L33" s="1285"/>
      <c r="M33" s="1284"/>
      <c r="N33" s="1284"/>
      <c r="O33" s="1284"/>
      <c r="S33" s="2554" t="s">
        <v>425</v>
      </c>
      <c r="T33" s="2554"/>
      <c r="U33" s="1288"/>
      <c r="V33" s="2556" t="str">
        <f>IF(TITLE_NUMBER_PR_CHANGE="",IF(TITLE_NUMBER_PR="","",TITLE_NUMBER_PR),TITLE_NUMBER_PR_CHANGE)</f>
        <v/>
      </c>
      <c r="W33" s="2556"/>
      <c r="X33" s="2556"/>
      <c r="Y33" s="2556"/>
      <c r="Z33" s="2556"/>
      <c r="AA33" s="2556"/>
      <c r="AB33" s="263"/>
      <c r="AC33" s="2556" t="str">
        <f>IF(TITLE_NUMBER_PR_CHANGE="",IF(TITLE_NUMBER_PR="","",TITLE_NUMBER_PR),TITLE_NUMBER_PR_CHANGE)</f>
        <v/>
      </c>
      <c r="AD33" s="2556"/>
      <c r="AE33" s="2556"/>
      <c r="AF33" s="2556"/>
      <c r="AG33" s="2556"/>
      <c r="AH33" s="2556"/>
      <c r="AI33" s="263"/>
      <c r="AJ33" s="263"/>
      <c r="AK33" s="217"/>
      <c r="AL33" s="304"/>
      <c r="AM33" s="304"/>
      <c r="AN33" s="304"/>
      <c r="AO33" s="304"/>
      <c r="AP33" s="304"/>
      <c r="AQ33" s="354">
        <v>0</v>
      </c>
    </row>
    <row r="34" spans="1:43" s="2380" customFormat="1" ht="1.1499999999999999" customHeight="1">
      <c r="A34" s="1284"/>
      <c r="B34" s="1284"/>
      <c r="C34" s="1284"/>
      <c r="D34" s="1284"/>
      <c r="E34" s="1284"/>
      <c r="F34" s="1284"/>
      <c r="G34" s="1284"/>
      <c r="H34" s="1284"/>
      <c r="I34" s="1284"/>
      <c r="J34" s="1284"/>
      <c r="K34" s="1284"/>
      <c r="L34" s="1285"/>
      <c r="M34" s="1284"/>
      <c r="N34" s="1284"/>
      <c r="O34" s="1284"/>
      <c r="S34" s="260"/>
      <c r="T34" s="260"/>
      <c r="U34" s="127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1"/>
      <c r="T35" s="299"/>
      <c r="U35" s="1160"/>
      <c r="V35" s="2575"/>
      <c r="W35" s="2575"/>
      <c r="X35" s="2575"/>
      <c r="Y35" s="2575"/>
      <c r="Z35" s="2575"/>
      <c r="AA35" s="2575"/>
      <c r="AB35" s="2575"/>
      <c r="AC35" s="2575"/>
      <c r="AD35" s="2575"/>
      <c r="AE35" s="2575"/>
      <c r="AF35" s="2575"/>
      <c r="AG35" s="2575"/>
      <c r="AH35" s="2575"/>
      <c r="AI35" s="2575"/>
      <c r="AQ35" s="1071">
        <v>14</v>
      </c>
    </row>
    <row r="36" spans="1:43" ht="14.65" customHeight="1">
      <c r="Q36" s="312"/>
      <c r="R36" s="312"/>
      <c r="S36" s="2435" t="s">
        <v>299</v>
      </c>
      <c r="T36" s="2435"/>
      <c r="U36" s="2435"/>
      <c r="V36" s="2435"/>
      <c r="W36" s="2435"/>
      <c r="X36" s="2435"/>
      <c r="Y36" s="2435"/>
      <c r="Z36" s="2435"/>
      <c r="AA36" s="2435"/>
      <c r="AB36" s="2435"/>
      <c r="AC36" s="2435"/>
      <c r="AD36" s="2435"/>
      <c r="AE36" s="2435"/>
      <c r="AF36" s="2435"/>
      <c r="AG36" s="2435"/>
      <c r="AH36" s="2435"/>
      <c r="AI36" s="2435"/>
      <c r="AJ36" s="2435"/>
      <c r="AK36" s="2435" t="s">
        <v>300</v>
      </c>
      <c r="AQ36" s="1071">
        <v>14</v>
      </c>
    </row>
    <row r="37" spans="1:43" ht="14.65" customHeight="1">
      <c r="Q37" s="312"/>
      <c r="R37" s="312"/>
      <c r="S37" s="2576" t="s">
        <v>88</v>
      </c>
      <c r="T37" s="2524" t="s">
        <v>427</v>
      </c>
      <c r="U37" s="238"/>
      <c r="V37" s="2577" t="s">
        <v>428</v>
      </c>
      <c r="W37" s="2578"/>
      <c r="X37" s="2578"/>
      <c r="Y37" s="2578"/>
      <c r="Z37" s="2578"/>
      <c r="AA37" s="2579"/>
      <c r="AB37" s="2580" t="s">
        <v>429</v>
      </c>
      <c r="AC37" s="2577" t="s">
        <v>428</v>
      </c>
      <c r="AD37" s="2578"/>
      <c r="AE37" s="2578"/>
      <c r="AF37" s="2578"/>
      <c r="AG37" s="2578"/>
      <c r="AH37" s="2579"/>
      <c r="AI37" s="2580" t="s">
        <v>430</v>
      </c>
      <c r="AJ37" s="2583" t="s">
        <v>431</v>
      </c>
      <c r="AK37" s="2435"/>
      <c r="AQ37" s="1071">
        <v>14</v>
      </c>
    </row>
    <row r="38" spans="1:43" ht="35.65" customHeight="1">
      <c r="Q38" s="312"/>
      <c r="R38" s="312"/>
      <c r="S38" s="2576"/>
      <c r="T38" s="2524"/>
      <c r="U38" s="953"/>
      <c r="V38" s="1268" t="s">
        <v>488</v>
      </c>
      <c r="W38" s="2417" t="s">
        <v>434</v>
      </c>
      <c r="X38" s="2416"/>
      <c r="Y38" s="2417" t="s">
        <v>435</v>
      </c>
      <c r="Z38" s="2422"/>
      <c r="AA38" s="2416"/>
      <c r="AB38" s="2581"/>
      <c r="AC38" s="1268" t="s">
        <v>488</v>
      </c>
      <c r="AD38" s="2417" t="s">
        <v>434</v>
      </c>
      <c r="AE38" s="2416"/>
      <c r="AF38" s="2417" t="s">
        <v>435</v>
      </c>
      <c r="AG38" s="2422"/>
      <c r="AH38" s="2416"/>
      <c r="AI38" s="2581"/>
      <c r="AJ38" s="2584"/>
      <c r="AK38" s="2435"/>
      <c r="AQ38" s="1071">
        <v>34</v>
      </c>
    </row>
    <row r="39" spans="1:43" ht="35.65" customHeight="1">
      <c r="A39" s="1286"/>
      <c r="B39" s="1286" t="s">
        <v>136</v>
      </c>
      <c r="C39" s="1286" t="s">
        <v>137</v>
      </c>
      <c r="D39" s="1286" t="s">
        <v>138</v>
      </c>
      <c r="E39" s="1280" t="s">
        <v>436</v>
      </c>
      <c r="F39" s="1280" t="s">
        <v>437</v>
      </c>
      <c r="G39" s="1280" t="s">
        <v>438</v>
      </c>
      <c r="H39" s="1280"/>
      <c r="I39" s="1280" t="s">
        <v>489</v>
      </c>
      <c r="J39" s="1280" t="s">
        <v>441</v>
      </c>
      <c r="K39" s="1280" t="s">
        <v>490</v>
      </c>
      <c r="L39" s="1280" t="s">
        <v>417</v>
      </c>
      <c r="Q39" s="312"/>
      <c r="R39" s="312"/>
      <c r="S39" s="2576"/>
      <c r="T39" s="2524"/>
      <c r="U39" s="239"/>
      <c r="V39" s="1268" t="s">
        <v>491</v>
      </c>
      <c r="W39" s="1138" t="s">
        <v>492</v>
      </c>
      <c r="X39" s="1138" t="s">
        <v>493</v>
      </c>
      <c r="Y39" s="1273" t="s">
        <v>445</v>
      </c>
      <c r="Z39" s="2529" t="s">
        <v>446</v>
      </c>
      <c r="AA39" s="2543"/>
      <c r="AB39" s="2582"/>
      <c r="AC39" s="1268" t="s">
        <v>491</v>
      </c>
      <c r="AD39" s="1138" t="s">
        <v>492</v>
      </c>
      <c r="AE39" s="1138" t="s">
        <v>493</v>
      </c>
      <c r="AF39" s="1273" t="s">
        <v>445</v>
      </c>
      <c r="AG39" s="2529" t="s">
        <v>446</v>
      </c>
      <c r="AH39" s="2543"/>
      <c r="AI39" s="2582"/>
      <c r="AJ39" s="2585"/>
      <c r="AK39" s="2435"/>
      <c r="AQ39" s="1071">
        <v>34</v>
      </c>
    </row>
    <row r="40" spans="1:43" s="2335"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109</v>
      </c>
      <c r="T40" s="1171" t="s">
        <v>110</v>
      </c>
      <c r="U40" s="1161" t="str">
        <f ca="1">OFFSET(U40,0,-1)</f>
        <v>2</v>
      </c>
      <c r="V40" s="1269">
        <f ca="1">OFFSET(V40,0,-1)+1</f>
        <v>3</v>
      </c>
      <c r="W40" s="1269">
        <f ca="1">OFFSET(W40,0,-1)+1</f>
        <v>4</v>
      </c>
      <c r="X40" s="1269">
        <f ca="1">OFFSET(X40,0,-1)+1</f>
        <v>5</v>
      </c>
      <c r="Y40" s="1269">
        <f ca="1">OFFSET(Y40,0,-1)+1</f>
        <v>6</v>
      </c>
      <c r="Z40" s="2574">
        <f ca="1">OFFSET(Z40,0,-1)+1</f>
        <v>7</v>
      </c>
      <c r="AA40" s="2574"/>
      <c r="AB40" s="1269">
        <f ca="1">OFFSET(AB40,0,-2)+1</f>
        <v>8</v>
      </c>
      <c r="AC40" s="1269">
        <f ca="1">OFFSET(AC40,0,-1)+1</f>
        <v>9</v>
      </c>
      <c r="AD40" s="1269">
        <f ca="1">OFFSET(AD40,0,-1)+1</f>
        <v>10</v>
      </c>
      <c r="AE40" s="1269">
        <f ca="1">OFFSET(AE40,0,-1)+1</f>
        <v>11</v>
      </c>
      <c r="AF40" s="1269">
        <f ca="1">OFFSET(AF40,0,-1)+1</f>
        <v>12</v>
      </c>
      <c r="AG40" s="2574">
        <f ca="1">OFFSET(AG40,0,-1)+1</f>
        <v>13</v>
      </c>
      <c r="AH40" s="2574"/>
      <c r="AI40" s="1269">
        <f ca="1">OFFSET(AI40,0,-2)+1</f>
        <v>14</v>
      </c>
      <c r="AJ40" s="1161">
        <f ca="1">OFFSET(AJ40,0,-1)</f>
        <v>14</v>
      </c>
      <c r="AK40" s="1269">
        <f ca="1">OFFSET(AK40,0,-1)+1</f>
        <v>15</v>
      </c>
      <c r="AL40" s="447"/>
      <c r="AM40" s="447"/>
      <c r="AN40" s="447"/>
      <c r="AO40" s="447"/>
      <c r="AP40" s="447"/>
      <c r="AQ40" s="432">
        <v>0</v>
      </c>
    </row>
    <row r="41" spans="1:43" ht="24" customHeight="1">
      <c r="A41" s="1279" t="s">
        <v>225</v>
      </c>
      <c r="B41" s="1279"/>
      <c r="C41" s="1279"/>
      <c r="D41" s="1279"/>
      <c r="E41" s="2563">
        <v>1</v>
      </c>
      <c r="F41" s="1279"/>
      <c r="G41" s="1279"/>
      <c r="H41" s="1279"/>
      <c r="I41" s="1279"/>
      <c r="J41" s="1279"/>
      <c r="K41" s="1279"/>
      <c r="L41" s="1280"/>
      <c r="M41" s="1281"/>
      <c r="N41" s="1281"/>
      <c r="O41" s="1281"/>
      <c r="P41" s="297"/>
      <c r="Q41" s="296"/>
      <c r="R41" s="291"/>
      <c r="S41" s="1274">
        <f>INDEX(PT_DIFFERENTIATION_NUM_NTAR,MATCH(A41,PT_DIFFERENTIATION_NTAR_ID,0))</f>
        <v>0</v>
      </c>
      <c r="T41" s="235" t="s">
        <v>124</v>
      </c>
      <c r="U41" s="237"/>
      <c r="V41" s="2557"/>
      <c r="W41" s="2558"/>
      <c r="X41" s="2558"/>
      <c r="Y41" s="2558"/>
      <c r="Z41" s="2558"/>
      <c r="AA41" s="2558"/>
      <c r="AB41" s="2559"/>
      <c r="AC41" s="2557" t="str">
        <f>INDEX(PT_DIFFERENTIATION_NTAR,MATCH(A41,PT_DIFFERENTIATION_NTAR_ID,0))</f>
        <v/>
      </c>
      <c r="AD41" s="2558"/>
      <c r="AE41" s="2558"/>
      <c r="AF41" s="2558"/>
      <c r="AG41" s="2558"/>
      <c r="AH41" s="2558"/>
      <c r="AI41" s="2558"/>
      <c r="AJ41" s="255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225</v>
      </c>
      <c r="B42" s="1279" t="s">
        <v>226</v>
      </c>
      <c r="C42" s="1279"/>
      <c r="D42" s="1279"/>
      <c r="E42" s="2564"/>
      <c r="F42" s="2563">
        <v>1</v>
      </c>
      <c r="G42" s="1279"/>
      <c r="H42" s="1279"/>
      <c r="I42" s="1279"/>
      <c r="J42" s="1279"/>
      <c r="K42" s="1279"/>
      <c r="L42" s="1280"/>
      <c r="M42" s="1281"/>
      <c r="N42" s="1281"/>
      <c r="O42" s="1281"/>
      <c r="P42" s="1272"/>
      <c r="Q42" s="288"/>
      <c r="R42" s="289"/>
      <c r="S42" s="1274" t="str">
        <f>INDEX(PT_DIFFERENTIATION_NUM_TER,MATCH(B42,PT_DIFFERENTIATION_TER_ID,0))</f>
        <v>.</v>
      </c>
      <c r="T42" s="245" t="s">
        <v>396</v>
      </c>
      <c r="U42" s="237"/>
      <c r="V42" s="2557"/>
      <c r="W42" s="2558"/>
      <c r="X42" s="2558"/>
      <c r="Y42" s="2558"/>
      <c r="Z42" s="2558"/>
      <c r="AA42" s="2558"/>
      <c r="AB42" s="2559"/>
      <c r="AC42" s="2557" t="str">
        <f>INDEX(PT_DIFFERENTIATION_TER,MATCH(B42,PT_DIFFERENTIATION_TER_ID,0))</f>
        <v/>
      </c>
      <c r="AD42" s="2558"/>
      <c r="AE42" s="2558"/>
      <c r="AF42" s="2558"/>
      <c r="AG42" s="2558"/>
      <c r="AH42" s="2558"/>
      <c r="AI42" s="2558"/>
      <c r="AJ42" s="2559"/>
      <c r="AK42" s="1174" t="s">
        <v>397</v>
      </c>
      <c r="AM42" s="436"/>
      <c r="AN42" s="436" t="str">
        <f t="shared" si="1"/>
        <v>Территория действия тарифа</v>
      </c>
      <c r="AO42" s="436"/>
      <c r="AP42" s="436"/>
      <c r="AQ42" s="1071">
        <v>23</v>
      </c>
    </row>
    <row r="43" spans="1:43" ht="24" customHeight="1">
      <c r="A43" s="1279" t="s">
        <v>225</v>
      </c>
      <c r="B43" s="1279" t="s">
        <v>226</v>
      </c>
      <c r="C43" s="1279" t="s">
        <v>227</v>
      </c>
      <c r="D43" s="1279"/>
      <c r="E43" s="2564"/>
      <c r="F43" s="2564"/>
      <c r="G43" s="2563">
        <v>1</v>
      </c>
      <c r="H43" s="1279"/>
      <c r="I43" s="1279"/>
      <c r="J43" s="1279"/>
      <c r="K43" s="1279"/>
      <c r="L43" s="1280"/>
      <c r="M43" s="1281"/>
      <c r="N43" s="1281"/>
      <c r="O43" s="1281"/>
      <c r="P43" s="290"/>
      <c r="Q43" s="288"/>
      <c r="R43" s="289"/>
      <c r="S43" s="1274" t="str">
        <f>INDEX(PT_DIFFERENTIATION_NUM_CS,MATCH(C43,PT_DIFFERENTIATION_CS_ID,0))</f>
        <v>..</v>
      </c>
      <c r="T43" s="246" t="s">
        <v>480</v>
      </c>
      <c r="U43" s="237"/>
      <c r="V43" s="2557"/>
      <c r="W43" s="2558"/>
      <c r="X43" s="2558"/>
      <c r="Y43" s="2558"/>
      <c r="Z43" s="2558"/>
      <c r="AA43" s="2558"/>
      <c r="AB43" s="2559"/>
      <c r="AC43" s="2557" t="str">
        <f>INDEX(PT_DIFFERENTIATION_CS,MATCH(C43,PT_DIFFERENTIATION_CS_ID,0))</f>
        <v/>
      </c>
      <c r="AD43" s="2558"/>
      <c r="AE43" s="2558"/>
      <c r="AF43" s="2558"/>
      <c r="AG43" s="2558"/>
      <c r="AH43" s="2558"/>
      <c r="AI43" s="2558"/>
      <c r="AJ43" s="2559"/>
      <c r="AK43" s="1174" t="s">
        <v>481</v>
      </c>
      <c r="AM43" s="436"/>
      <c r="AN43" s="436" t="str">
        <f t="shared" si="1"/>
        <v>Наименование централизованной системы холодного водоснабжения</v>
      </c>
      <c r="AO43" s="436"/>
      <c r="AP43" s="436"/>
      <c r="AQ43" s="1071">
        <v>23</v>
      </c>
    </row>
    <row r="44" spans="1:43" ht="24" customHeight="1">
      <c r="A44" s="1279" t="s">
        <v>225</v>
      </c>
      <c r="B44" s="1279" t="s">
        <v>226</v>
      </c>
      <c r="C44" s="1279" t="s">
        <v>227</v>
      </c>
      <c r="D44" s="1279" t="s">
        <v>494</v>
      </c>
      <c r="E44" s="2564"/>
      <c r="F44" s="2564"/>
      <c r="G44" s="2564"/>
      <c r="H44" s="2564"/>
      <c r="I44" s="2565" t="str">
        <f>S43&amp;".1"</f>
        <v>...1</v>
      </c>
      <c r="J44" s="1279"/>
      <c r="K44" s="1279"/>
      <c r="L44" s="1280"/>
      <c r="P44" s="2567">
        <v>1</v>
      </c>
      <c r="Q44" s="1270"/>
      <c r="R44" s="292"/>
      <c r="S44" s="1274" t="str">
        <f>$I44</f>
        <v>...1</v>
      </c>
      <c r="T44" s="222" t="s">
        <v>482</v>
      </c>
      <c r="U44" s="237"/>
      <c r="V44" s="2631"/>
      <c r="W44" s="2632"/>
      <c r="X44" s="2632"/>
      <c r="Y44" s="2632"/>
      <c r="Z44" s="2632"/>
      <c r="AA44" s="2632"/>
      <c r="AB44" s="2633"/>
      <c r="AC44" s="2634"/>
      <c r="AD44" s="2635"/>
      <c r="AE44" s="2635"/>
      <c r="AF44" s="2635"/>
      <c r="AG44" s="2635"/>
      <c r="AH44" s="2635"/>
      <c r="AI44" s="2635"/>
      <c r="AJ44" s="2636"/>
      <c r="AK44" s="1174" t="s">
        <v>483</v>
      </c>
      <c r="AM44" s="436"/>
      <c r="AN44" s="436" t="str">
        <f t="shared" si="1"/>
        <v>Наименование признака дифференциации</v>
      </c>
      <c r="AO44" s="436"/>
      <c r="AP44" s="436"/>
      <c r="AQ44" s="1071">
        <v>23</v>
      </c>
    </row>
    <row r="45" spans="1:43" ht="24" customHeight="1">
      <c r="A45" s="1279" t="s">
        <v>225</v>
      </c>
      <c r="B45" s="1279" t="s">
        <v>226</v>
      </c>
      <c r="C45" s="1279" t="s">
        <v>227</v>
      </c>
      <c r="D45" s="1279" t="s">
        <v>494</v>
      </c>
      <c r="E45" s="2564"/>
      <c r="F45" s="2564"/>
      <c r="G45" s="2564"/>
      <c r="H45" s="2564"/>
      <c r="I45" s="2566"/>
      <c r="J45" s="2565" t="str">
        <f>I44&amp;".1"</f>
        <v>...1.1</v>
      </c>
      <c r="K45" s="1279"/>
      <c r="L45" s="1280" t="s">
        <v>405</v>
      </c>
      <c r="P45" s="2567"/>
      <c r="Q45" s="2567">
        <v>1</v>
      </c>
      <c r="R45" s="293"/>
      <c r="S45" s="1274" t="str">
        <f>$J45</f>
        <v>...1.1</v>
      </c>
      <c r="T45" s="223" t="s">
        <v>406</v>
      </c>
      <c r="U45" s="237"/>
      <c r="V45" s="2551"/>
      <c r="W45" s="2552"/>
      <c r="X45" s="2552"/>
      <c r="Y45" s="2552"/>
      <c r="Z45" s="2552"/>
      <c r="AA45" s="2552"/>
      <c r="AB45" s="2553"/>
      <c r="AC45" s="2551"/>
      <c r="AD45" s="2552"/>
      <c r="AE45" s="2552"/>
      <c r="AF45" s="2552"/>
      <c r="AG45" s="2552"/>
      <c r="AH45" s="2552"/>
      <c r="AI45" s="2552"/>
      <c r="AJ45" s="2553"/>
      <c r="AK45" s="1223" t="s">
        <v>484</v>
      </c>
      <c r="AM45" s="436"/>
      <c r="AN45" s="436" t="str">
        <f t="shared" si="1"/>
        <v>Группа потребителей</v>
      </c>
      <c r="AO45" s="436"/>
      <c r="AP45" s="436"/>
      <c r="AQ45" s="1071">
        <v>23</v>
      </c>
    </row>
    <row r="46" spans="1:43" ht="24" customHeight="1">
      <c r="A46" s="1279" t="s">
        <v>225</v>
      </c>
      <c r="B46" s="1279" t="s">
        <v>226</v>
      </c>
      <c r="C46" s="1279" t="s">
        <v>227</v>
      </c>
      <c r="D46" s="1279" t="s">
        <v>494</v>
      </c>
      <c r="E46" s="2564"/>
      <c r="F46" s="2564"/>
      <c r="G46" s="2564"/>
      <c r="H46" s="2564"/>
      <c r="I46" s="2566"/>
      <c r="J46" s="2566"/>
      <c r="K46" s="2565" t="str">
        <f>J45&amp;".1"</f>
        <v>...1.1.1</v>
      </c>
      <c r="L46" s="1280"/>
      <c r="P46" s="2567"/>
      <c r="Q46" s="2567"/>
      <c r="R46" s="293">
        <v>1</v>
      </c>
      <c r="S46" s="1274" t="str">
        <f>$K46</f>
        <v>...1.1.1</v>
      </c>
      <c r="T46" s="1353"/>
      <c r="U46" s="237"/>
      <c r="V46" s="1276"/>
      <c r="W46" s="1276"/>
      <c r="X46" s="1277"/>
      <c r="Y46" s="2561"/>
      <c r="Z46" s="2560" t="s">
        <v>62</v>
      </c>
      <c r="AA46" s="2561"/>
      <c r="AB46" s="2560" t="s">
        <v>62</v>
      </c>
      <c r="AC46" s="687"/>
      <c r="AD46" s="687"/>
      <c r="AE46" s="1173"/>
      <c r="AF46" s="2568"/>
      <c r="AG46" s="2445" t="s">
        <v>62</v>
      </c>
      <c r="AH46" s="2570"/>
      <c r="AI46" s="2445" t="s">
        <v>19</v>
      </c>
      <c r="AJ46" s="1354"/>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225</v>
      </c>
      <c r="B47" s="1279" t="s">
        <v>226</v>
      </c>
      <c r="C47" s="1279" t="s">
        <v>227</v>
      </c>
      <c r="D47" s="1279" t="s">
        <v>494</v>
      </c>
      <c r="E47" s="2564"/>
      <c r="F47" s="2564"/>
      <c r="G47" s="2564"/>
      <c r="H47" s="2564"/>
      <c r="I47" s="2566"/>
      <c r="J47" s="2566"/>
      <c r="K47" s="2565"/>
      <c r="L47" s="1280"/>
      <c r="P47" s="2567"/>
      <c r="Q47" s="2567"/>
      <c r="R47" s="293"/>
      <c r="S47" s="1275"/>
      <c r="T47" s="237"/>
      <c r="U47" s="237"/>
      <c r="V47" s="1276"/>
      <c r="W47" s="1276"/>
      <c r="X47" s="265" t="str">
        <f>Y46&amp;"-"&amp;AA46</f>
        <v>-</v>
      </c>
      <c r="Y47" s="2560"/>
      <c r="Z47" s="2560"/>
      <c r="AA47" s="2560"/>
      <c r="AB47" s="2560"/>
      <c r="AC47" s="262"/>
      <c r="AD47" s="262"/>
      <c r="AE47" s="265" t="str">
        <f>AF46&amp;"-"&amp;AH46</f>
        <v>-</v>
      </c>
      <c r="AF47" s="2569"/>
      <c r="AG47" s="2445"/>
      <c r="AH47" s="2571"/>
      <c r="AI47" s="2445"/>
      <c r="AJ47" s="1355"/>
      <c r="AK47" s="2637"/>
      <c r="AM47" s="436"/>
      <c r="AN47" s="436" t="str">
        <f t="shared" si="1"/>
        <v/>
      </c>
      <c r="AO47" s="436"/>
      <c r="AP47" s="436"/>
      <c r="AQ47" s="1071">
        <v>0</v>
      </c>
    </row>
    <row r="48" spans="1:43" ht="21" customHeight="1">
      <c r="A48" s="1279" t="s">
        <v>225</v>
      </c>
      <c r="B48" s="1279" t="s">
        <v>226</v>
      </c>
      <c r="C48" s="1279" t="s">
        <v>227</v>
      </c>
      <c r="D48" s="1279" t="s">
        <v>494</v>
      </c>
      <c r="E48" s="2564"/>
      <c r="F48" s="2564"/>
      <c r="G48" s="2564"/>
      <c r="H48" s="2564"/>
      <c r="I48" s="2566"/>
      <c r="J48" s="2565"/>
      <c r="K48" s="1279"/>
      <c r="L48" s="1280"/>
      <c r="P48" s="2567"/>
      <c r="Q48" s="2567"/>
      <c r="R48" s="292"/>
      <c r="S48" s="1194"/>
      <c r="T48" s="224" t="s">
        <v>485</v>
      </c>
      <c r="U48" s="303"/>
      <c r="V48" s="303"/>
      <c r="W48" s="303"/>
      <c r="X48" s="303"/>
      <c r="Y48" s="303"/>
      <c r="Z48" s="303"/>
      <c r="AA48" s="303"/>
      <c r="AB48" s="303"/>
      <c r="AC48" s="303"/>
      <c r="AD48" s="303"/>
      <c r="AE48" s="303"/>
      <c r="AF48" s="303"/>
      <c r="AG48" s="303"/>
      <c r="AH48" s="303"/>
      <c r="AI48" s="303"/>
      <c r="AJ48" s="303"/>
      <c r="AK48" s="1174" t="s">
        <v>486</v>
      </c>
      <c r="AM48" s="436"/>
      <c r="AN48" s="436" t="str">
        <f t="shared" si="1"/>
        <v>Добавить значение признака дифференциации</v>
      </c>
      <c r="AO48" s="436"/>
      <c r="AP48" s="436"/>
      <c r="AQ48" s="1071">
        <v>20</v>
      </c>
    </row>
    <row r="49" spans="1:43" ht="21.95" customHeight="1">
      <c r="A49" s="1279" t="s">
        <v>225</v>
      </c>
      <c r="B49" s="1279" t="s">
        <v>226</v>
      </c>
      <c r="C49" s="1279" t="s">
        <v>227</v>
      </c>
      <c r="D49" s="1279" t="s">
        <v>494</v>
      </c>
      <c r="E49" s="2564"/>
      <c r="F49" s="2564"/>
      <c r="G49" s="2564"/>
      <c r="H49" s="2564"/>
      <c r="I49" s="2565"/>
      <c r="J49" s="1279"/>
      <c r="K49" s="1279"/>
      <c r="L49" s="1280"/>
      <c r="P49" s="2567"/>
      <c r="Q49" s="1270"/>
      <c r="R49" s="292"/>
      <c r="S49" s="1194"/>
      <c r="T49" s="301" t="s">
        <v>411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225</v>
      </c>
      <c r="B50" s="1279" t="s">
        <v>226</v>
      </c>
      <c r="C50" s="1279" t="s">
        <v>227</v>
      </c>
      <c r="D50" s="1279" t="s">
        <v>494</v>
      </c>
      <c r="E50" s="2564"/>
      <c r="F50" s="2564"/>
      <c r="G50" s="2564"/>
      <c r="H50" s="2563"/>
      <c r="I50" s="1279"/>
      <c r="J50" s="1279"/>
      <c r="K50" s="1279"/>
      <c r="L50" s="1280"/>
      <c r="M50" s="1281"/>
      <c r="N50" s="1281"/>
      <c r="O50" s="473"/>
      <c r="P50" s="296"/>
      <c r="Q50" s="311"/>
      <c r="R50" s="291"/>
      <c r="S50" s="119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344" customFormat="1" ht="0" hidden="1" customHeight="1">
      <c r="A51" s="1259" t="s">
        <v>225</v>
      </c>
      <c r="B51" s="1259" t="s">
        <v>226</v>
      </c>
      <c r="C51" s="1230"/>
      <c r="D51" s="1230"/>
      <c r="E51" s="2564"/>
      <c r="F51" s="2563"/>
      <c r="G51" s="1230"/>
      <c r="H51" s="1230"/>
      <c r="I51" s="1230"/>
      <c r="J51" s="1230"/>
      <c r="K51" s="1230"/>
      <c r="L51" s="1342"/>
      <c r="M51" s="1237"/>
      <c r="N51" s="1237"/>
      <c r="P51" s="1232"/>
      <c r="Q51" s="1233"/>
      <c r="R51" s="1232"/>
      <c r="S51" s="1238"/>
      <c r="T51" s="1241" t="s">
        <v>414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344" customFormat="1" ht="0" hidden="1" customHeight="1">
      <c r="A52" s="1259" t="s">
        <v>225</v>
      </c>
      <c r="B52" s="1259"/>
      <c r="C52" s="1259"/>
      <c r="D52" s="1259"/>
      <c r="E52" s="2563"/>
      <c r="F52" s="1259"/>
      <c r="G52" s="1259"/>
      <c r="H52" s="1259"/>
      <c r="I52" s="1259"/>
      <c r="J52" s="1259"/>
      <c r="K52" s="1259"/>
      <c r="L52" s="1262"/>
      <c r="M52" s="1237"/>
      <c r="N52" s="1237"/>
      <c r="O52" s="454"/>
      <c r="P52" s="316"/>
      <c r="Q52" s="1260"/>
      <c r="R52" s="316"/>
      <c r="S52" s="1238"/>
      <c r="T52" s="1241" t="s">
        <v>415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344" customFormat="1" ht="0" hidden="1" customHeight="1">
      <c r="A53" s="1230"/>
      <c r="B53" s="1230"/>
      <c r="C53" s="1230"/>
      <c r="D53" s="1230"/>
      <c r="E53" s="1259"/>
      <c r="F53" s="1230"/>
      <c r="G53" s="1230"/>
      <c r="H53" s="1230"/>
      <c r="I53" s="1230"/>
      <c r="J53" s="1230"/>
      <c r="K53" s="1230"/>
      <c r="L53" s="1342"/>
      <c r="M53" s="1237"/>
      <c r="N53" s="1237"/>
      <c r="P53" s="1232"/>
      <c r="Q53" s="1233"/>
      <c r="R53" s="1232"/>
      <c r="S53" s="1238"/>
      <c r="T53" s="1241" t="s">
        <v>447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62"/>
      <c r="U55" s="2562"/>
      <c r="V55" s="2562"/>
      <c r="W55" s="2562"/>
      <c r="X55" s="2562"/>
      <c r="Y55" s="2562"/>
      <c r="Z55" s="2562"/>
      <c r="AA55" s="2562"/>
      <c r="AB55" s="2562"/>
      <c r="AC55" s="2562"/>
      <c r="AD55" s="2562"/>
      <c r="AE55" s="2562"/>
      <c r="AF55" s="2562"/>
      <c r="AG55" s="2562"/>
      <c r="AH55" s="2562"/>
      <c r="AI55" s="2562"/>
      <c r="AJ55" s="2562"/>
      <c r="AK55" s="2562"/>
      <c r="AQ55" s="1071">
        <v>14</v>
      </c>
    </row>
    <row r="56" spans="1:43" ht="14.65" customHeight="1">
      <c r="O56" s="473"/>
      <c r="AQ56" s="1071">
        <v>14</v>
      </c>
    </row>
    <row r="57" spans="1:43" ht="14.65" customHeight="1">
      <c r="O57" s="473"/>
      <c r="S57" s="1169"/>
      <c r="T57" s="2562"/>
      <c r="U57" s="2562"/>
      <c r="V57" s="2562"/>
      <c r="W57" s="2562"/>
      <c r="X57" s="2562"/>
      <c r="Y57" s="2562"/>
      <c r="Z57" s="2562"/>
      <c r="AA57" s="2562"/>
      <c r="AB57" s="2562"/>
      <c r="AC57" s="2562"/>
      <c r="AD57" s="2562"/>
      <c r="AE57" s="2562"/>
      <c r="AF57" s="2562"/>
      <c r="AG57" s="2562"/>
      <c r="AH57" s="2562"/>
      <c r="AI57" s="2562"/>
      <c r="AJ57" s="2562"/>
      <c r="AK57" s="2562"/>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37">
        <v>0</v>
      </c>
      <c r="M58" s="1278">
        <v>0</v>
      </c>
      <c r="N58" s="1278">
        <v>0</v>
      </c>
      <c r="O58" s="1278">
        <v>0</v>
      </c>
      <c r="P58" s="1267">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4.140625" style="2357" hidden="1" customWidth="1"/>
    <col min="10" max="10" width="9.85546875" style="2357" hidden="1" customWidth="1"/>
    <col min="11" max="11" width="14.710937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4" width="24.7109375" style="2360" hidden="1" customWidth="1"/>
    <col min="25" max="25" width="11.7109375" style="2360" hidden="1" customWidth="1"/>
    <col min="26" max="26" width="3.7109375" style="2360" hidden="1" customWidth="1"/>
    <col min="27" max="27" width="11.7109375" style="2360" hidden="1" customWidth="1"/>
    <col min="28" max="28" width="8.5703125" style="2360" hidden="1" customWidth="1"/>
    <col min="29" max="29" width="24.7109375" style="2360" customWidth="1"/>
    <col min="30" max="31" width="24" style="2360" customWidth="1"/>
    <col min="32" max="32" width="11" style="2360" customWidth="1"/>
    <col min="33" max="33" width="3.7109375" style="2360" customWidth="1"/>
    <col min="34" max="34" width="11" style="2360" customWidth="1"/>
    <col min="35" max="35" width="8.5703125" style="2360" hidden="1" customWidth="1"/>
    <col min="36" max="36" width="4" style="2360" customWidth="1"/>
    <col min="37" max="37" width="115" style="2360" customWidth="1"/>
    <col min="38" max="42" width="10" style="2344" customWidth="1"/>
    <col min="43" max="43" width="10.5703125" style="2360" hidden="1"/>
  </cols>
  <sheetData>
    <row r="1" spans="1:43" ht="22.5" hidden="1" customHeight="1">
      <c r="X1" s="264"/>
      <c r="Y1" s="264"/>
      <c r="AE1" s="264"/>
      <c r="AF1" s="264"/>
      <c r="AQ1" s="1071" t="s">
        <v>14</v>
      </c>
    </row>
    <row r="2" spans="1:43" ht="23.25" hidden="1" customHeight="1">
      <c r="A2" s="1279"/>
      <c r="B2" s="1279"/>
      <c r="C2" s="1279"/>
      <c r="D2" s="1279"/>
      <c r="E2" s="2563">
        <v>1</v>
      </c>
      <c r="F2" s="1279"/>
      <c r="G2" s="1279"/>
      <c r="H2" s="1279"/>
      <c r="I2" s="1279"/>
      <c r="J2" s="1279"/>
      <c r="K2" s="1279"/>
      <c r="L2" s="1280"/>
      <c r="M2" s="1281"/>
      <c r="N2" s="1281"/>
      <c r="O2" s="1281"/>
      <c r="P2" s="297"/>
      <c r="Q2" s="296"/>
      <c r="R2" s="291"/>
      <c r="S2" s="1373" t="e">
        <f>INDEX(PT_DIFFERENTIATION_NUM_NTAR,MATCH(A2,PT_DIFFERENTIATION_NTAR_ID,0))</f>
        <v>#N/A</v>
      </c>
      <c r="T2" s="235" t="s">
        <v>124</v>
      </c>
      <c r="U2" s="237"/>
      <c r="V2" s="2557"/>
      <c r="W2" s="2558"/>
      <c r="X2" s="2558"/>
      <c r="Y2" s="2558"/>
      <c r="Z2" s="2558"/>
      <c r="AA2" s="2558"/>
      <c r="AB2" s="2559"/>
      <c r="AC2" s="2557" t="e">
        <f>INDEX(PT_DIFFERENTIATION_NTAR,MATCH(A2,PT_DIFFERENTIATION_NTAR_ID,0))</f>
        <v>#N/A</v>
      </c>
      <c r="AD2" s="2558"/>
      <c r="AE2" s="2558"/>
      <c r="AF2" s="2558"/>
      <c r="AG2" s="2558"/>
      <c r="AH2" s="2558"/>
      <c r="AI2" s="2558"/>
      <c r="AJ2" s="255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564"/>
      <c r="F3" s="2563">
        <v>1</v>
      </c>
      <c r="G3" s="1279"/>
      <c r="H3" s="1279"/>
      <c r="I3" s="1279"/>
      <c r="J3" s="1279"/>
      <c r="K3" s="1279"/>
      <c r="L3" s="1280"/>
      <c r="M3" s="1281"/>
      <c r="N3" s="1281"/>
      <c r="O3" s="1281"/>
      <c r="P3" s="1369"/>
      <c r="Q3" s="288"/>
      <c r="R3" s="289"/>
      <c r="S3" s="1373" t="e">
        <f>INDEX(PT_DIFFERENTIATION_NUM_TER,MATCH(B3,PT_DIFFERENTIATION_TER_ID,0))</f>
        <v>#N/A</v>
      </c>
      <c r="T3" s="245" t="s">
        <v>396</v>
      </c>
      <c r="U3" s="237"/>
      <c r="V3" s="2557"/>
      <c r="W3" s="2558"/>
      <c r="X3" s="2558"/>
      <c r="Y3" s="2558"/>
      <c r="Z3" s="2558"/>
      <c r="AA3" s="2558"/>
      <c r="AB3" s="2559"/>
      <c r="AC3" s="2557" t="e">
        <f>INDEX(PT_DIFFERENTIATION_TER,MATCH(B3,PT_DIFFERENTIATION_TER_ID,0))</f>
        <v>#N/A</v>
      </c>
      <c r="AD3" s="2558"/>
      <c r="AE3" s="2558"/>
      <c r="AF3" s="2558"/>
      <c r="AG3" s="2558"/>
      <c r="AH3" s="2558"/>
      <c r="AI3" s="2558"/>
      <c r="AJ3" s="2559"/>
      <c r="AK3" s="1174" t="s">
        <v>397</v>
      </c>
      <c r="AM3" s="436"/>
      <c r="AN3" s="436" t="str">
        <f t="shared" si="0"/>
        <v>Территория действия тарифа</v>
      </c>
      <c r="AO3" s="436"/>
      <c r="AP3" s="436"/>
      <c r="AQ3" s="1071">
        <v>0</v>
      </c>
    </row>
    <row r="4" spans="1:43" ht="23.25" hidden="1" customHeight="1">
      <c r="A4" s="1279"/>
      <c r="B4" s="1279"/>
      <c r="C4" s="1279"/>
      <c r="D4" s="1279"/>
      <c r="E4" s="2564"/>
      <c r="F4" s="2564"/>
      <c r="G4" s="2563">
        <v>1</v>
      </c>
      <c r="H4" s="1279"/>
      <c r="I4" s="1279"/>
      <c r="J4" s="1279"/>
      <c r="K4" s="1279"/>
      <c r="L4" s="1280"/>
      <c r="M4" s="1281"/>
      <c r="N4" s="1281"/>
      <c r="O4" s="1281"/>
      <c r="P4" s="290"/>
      <c r="Q4" s="288"/>
      <c r="R4" s="289"/>
      <c r="S4" s="1373" t="e">
        <f>INDEX(PT_DIFFERENTIATION_NUM_CS,MATCH(C4,PT_DIFFERENTIATION_CS_ID,0))</f>
        <v>#N/A</v>
      </c>
      <c r="T4" s="246" t="s">
        <v>480</v>
      </c>
      <c r="U4" s="237"/>
      <c r="V4" s="2557"/>
      <c r="W4" s="2558"/>
      <c r="X4" s="2558"/>
      <c r="Y4" s="2558"/>
      <c r="Z4" s="2558"/>
      <c r="AA4" s="2558"/>
      <c r="AB4" s="2559"/>
      <c r="AC4" s="2557" t="e">
        <f>INDEX(PT_DIFFERENTIATION_CS,MATCH(C4,PT_DIFFERENTIATION_CS_ID,0))</f>
        <v>#N/A</v>
      </c>
      <c r="AD4" s="2558"/>
      <c r="AE4" s="2558"/>
      <c r="AF4" s="2558"/>
      <c r="AG4" s="2558"/>
      <c r="AH4" s="2558"/>
      <c r="AI4" s="2558"/>
      <c r="AJ4" s="2559"/>
      <c r="AK4" s="1174" t="s">
        <v>481</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564"/>
      <c r="F5" s="2564"/>
      <c r="G5" s="2564"/>
      <c r="H5" s="2564"/>
      <c r="I5" s="2565" t="e">
        <f>S4&amp;".1"</f>
        <v>#N/A</v>
      </c>
      <c r="J5" s="1279"/>
      <c r="K5" s="1279"/>
      <c r="L5" s="1280"/>
      <c r="P5" s="2567">
        <v>1</v>
      </c>
      <c r="Q5" s="1366"/>
      <c r="R5" s="292"/>
      <c r="S5" s="1373" t="e">
        <f>$I5</f>
        <v>#N/A</v>
      </c>
      <c r="T5" s="222" t="s">
        <v>482</v>
      </c>
      <c r="U5" s="237"/>
      <c r="V5" s="2631"/>
      <c r="W5" s="2632"/>
      <c r="X5" s="2632"/>
      <c r="Y5" s="2632"/>
      <c r="Z5" s="2632"/>
      <c r="AA5" s="2632"/>
      <c r="AB5" s="2633"/>
      <c r="AC5" s="2634"/>
      <c r="AD5" s="2635"/>
      <c r="AE5" s="2635"/>
      <c r="AF5" s="2635"/>
      <c r="AG5" s="2635"/>
      <c r="AH5" s="2635"/>
      <c r="AI5" s="2635"/>
      <c r="AJ5" s="2636"/>
      <c r="AK5" s="1174" t="s">
        <v>483</v>
      </c>
      <c r="AM5" s="436"/>
      <c r="AN5" s="436" t="str">
        <f t="shared" si="0"/>
        <v>Наименование признака дифференциации</v>
      </c>
      <c r="AO5" s="436"/>
      <c r="AP5" s="436"/>
      <c r="AQ5" s="1071">
        <v>0</v>
      </c>
    </row>
    <row r="6" spans="1:43" ht="23.25" hidden="1" customHeight="1">
      <c r="A6" s="1279"/>
      <c r="B6" s="1279"/>
      <c r="C6" s="1279"/>
      <c r="D6" s="1279"/>
      <c r="E6" s="2564"/>
      <c r="F6" s="2564"/>
      <c r="G6" s="2564"/>
      <c r="H6" s="2564"/>
      <c r="I6" s="2566"/>
      <c r="J6" s="2565" t="e">
        <f>I5&amp;".1"</f>
        <v>#N/A</v>
      </c>
      <c r="K6" s="1279"/>
      <c r="L6" s="1280" t="s">
        <v>405</v>
      </c>
      <c r="P6" s="2567"/>
      <c r="Q6" s="2567">
        <v>1</v>
      </c>
      <c r="R6" s="293"/>
      <c r="S6" s="1373" t="e">
        <f>$J6</f>
        <v>#N/A</v>
      </c>
      <c r="T6" s="223" t="s">
        <v>406</v>
      </c>
      <c r="U6" s="237"/>
      <c r="V6" s="2551"/>
      <c r="W6" s="2552"/>
      <c r="X6" s="2552"/>
      <c r="Y6" s="2552"/>
      <c r="Z6" s="2552"/>
      <c r="AA6" s="2552"/>
      <c r="AB6" s="2553"/>
      <c r="AC6" s="2551"/>
      <c r="AD6" s="2552"/>
      <c r="AE6" s="2552"/>
      <c r="AF6" s="2552"/>
      <c r="AG6" s="2552"/>
      <c r="AH6" s="2552"/>
      <c r="AI6" s="2552"/>
      <c r="AJ6" s="2553"/>
      <c r="AK6" s="1223" t="s">
        <v>484</v>
      </c>
      <c r="AM6" s="436"/>
      <c r="AN6" s="436" t="str">
        <f t="shared" si="0"/>
        <v>Группа потребителей</v>
      </c>
      <c r="AO6" s="436"/>
      <c r="AP6" s="436"/>
      <c r="AQ6" s="1071">
        <v>0</v>
      </c>
    </row>
    <row r="7" spans="1:43" ht="23.25" hidden="1" customHeight="1">
      <c r="A7" s="1279"/>
      <c r="B7" s="1279"/>
      <c r="C7" s="1279"/>
      <c r="D7" s="1279"/>
      <c r="E7" s="2564"/>
      <c r="F7" s="2564"/>
      <c r="G7" s="2564"/>
      <c r="H7" s="2564"/>
      <c r="I7" s="2566"/>
      <c r="J7" s="2566"/>
      <c r="K7" s="2565" t="e">
        <f>J6&amp;".1"</f>
        <v>#N/A</v>
      </c>
      <c r="L7" s="1280"/>
      <c r="P7" s="2567"/>
      <c r="Q7" s="2567"/>
      <c r="R7" s="293">
        <v>1</v>
      </c>
      <c r="S7" s="1373" t="e">
        <f>$K7</f>
        <v>#N/A</v>
      </c>
      <c r="T7" s="1353"/>
      <c r="U7" s="237"/>
      <c r="V7" s="687"/>
      <c r="W7" s="687"/>
      <c r="X7" s="1173"/>
      <c r="Y7" s="2568"/>
      <c r="Z7" s="2445" t="s">
        <v>62</v>
      </c>
      <c r="AA7" s="2568"/>
      <c r="AB7" s="2445" t="s">
        <v>62</v>
      </c>
      <c r="AC7" s="687"/>
      <c r="AD7" s="687"/>
      <c r="AE7" s="1173"/>
      <c r="AF7" s="2568"/>
      <c r="AG7" s="2445" t="s">
        <v>62</v>
      </c>
      <c r="AH7" s="2570"/>
      <c r="AI7" s="2445" t="s">
        <v>62</v>
      </c>
      <c r="AJ7" s="1354"/>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564"/>
      <c r="F8" s="2564"/>
      <c r="G8" s="2564"/>
      <c r="H8" s="2564"/>
      <c r="I8" s="2566"/>
      <c r="J8" s="2566"/>
      <c r="K8" s="2565"/>
      <c r="L8" s="1280"/>
      <c r="P8" s="2567"/>
      <c r="Q8" s="2567"/>
      <c r="R8" s="293"/>
      <c r="S8" s="1372"/>
      <c r="T8" s="237"/>
      <c r="U8" s="237"/>
      <c r="V8" s="262"/>
      <c r="W8" s="262"/>
      <c r="X8" s="265" t="str">
        <f>Y7&amp;"-"&amp;AA7</f>
        <v>-</v>
      </c>
      <c r="Y8" s="2569"/>
      <c r="Z8" s="2445"/>
      <c r="AA8" s="2569"/>
      <c r="AB8" s="2445"/>
      <c r="AC8" s="262"/>
      <c r="AD8" s="262"/>
      <c r="AE8" s="265" t="str">
        <f>AF7&amp;"-"&amp;AH7</f>
        <v>-</v>
      </c>
      <c r="AF8" s="2569"/>
      <c r="AG8" s="2445"/>
      <c r="AH8" s="2571"/>
      <c r="AI8" s="2445"/>
      <c r="AJ8" s="1355"/>
      <c r="AK8" s="2637"/>
      <c r="AM8" s="436"/>
      <c r="AN8" s="436" t="str">
        <f t="shared" si="0"/>
        <v/>
      </c>
      <c r="AO8" s="436"/>
      <c r="AP8" s="436"/>
      <c r="AQ8" s="1071">
        <v>0</v>
      </c>
    </row>
    <row r="9" spans="1:43" ht="21" hidden="1" customHeight="1">
      <c r="A9" s="1279"/>
      <c r="B9" s="1279"/>
      <c r="C9" s="1279"/>
      <c r="D9" s="1279"/>
      <c r="E9" s="2564"/>
      <c r="F9" s="2564"/>
      <c r="G9" s="2564"/>
      <c r="H9" s="2564"/>
      <c r="I9" s="2566"/>
      <c r="J9" s="2565"/>
      <c r="K9" s="1279"/>
      <c r="L9" s="1280"/>
      <c r="P9" s="2567"/>
      <c r="Q9" s="2567"/>
      <c r="R9" s="292"/>
      <c r="S9" s="1194"/>
      <c r="T9" s="224" t="s">
        <v>485</v>
      </c>
      <c r="U9" s="303"/>
      <c r="V9" s="303"/>
      <c r="W9" s="303"/>
      <c r="X9" s="303"/>
      <c r="Y9" s="303"/>
      <c r="Z9" s="303"/>
      <c r="AA9" s="303"/>
      <c r="AB9" s="303"/>
      <c r="AC9" s="303"/>
      <c r="AD9" s="303"/>
      <c r="AE9" s="303"/>
      <c r="AF9" s="303"/>
      <c r="AG9" s="303"/>
      <c r="AH9" s="303"/>
      <c r="AI9" s="303"/>
      <c r="AJ9" s="303"/>
      <c r="AK9" s="1174" t="s">
        <v>486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564"/>
      <c r="F10" s="2564"/>
      <c r="G10" s="2564"/>
      <c r="H10" s="2564"/>
      <c r="I10" s="2565"/>
      <c r="J10" s="1279"/>
      <c r="K10" s="1279"/>
      <c r="L10" s="1280"/>
      <c r="P10" s="2567"/>
      <c r="Q10" s="1366"/>
      <c r="R10" s="292"/>
      <c r="S10" s="1194"/>
      <c r="T10" s="301" t="s">
        <v>411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564"/>
      <c r="F11" s="2564"/>
      <c r="G11" s="2564"/>
      <c r="H11" s="2563"/>
      <c r="I11" s="1279"/>
      <c r="J11" s="1279"/>
      <c r="K11" s="1279"/>
      <c r="L11" s="1280"/>
      <c r="M11" s="1281"/>
      <c r="N11" s="1281"/>
      <c r="O11" s="473"/>
      <c r="P11" s="296"/>
      <c r="Q11" s="311"/>
      <c r="R11" s="291"/>
      <c r="S11" s="119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344" customFormat="1" ht="14.25" hidden="1" customHeight="1">
      <c r="A12" s="1259"/>
      <c r="B12" s="1259"/>
      <c r="C12" s="1230"/>
      <c r="D12" s="1230"/>
      <c r="E12" s="2564"/>
      <c r="F12" s="2563"/>
      <c r="G12" s="1230"/>
      <c r="H12" s="1230"/>
      <c r="I12" s="1230"/>
      <c r="J12" s="1230"/>
      <c r="K12" s="1230"/>
      <c r="L12" s="1374"/>
      <c r="M12" s="1237"/>
      <c r="N12" s="1237"/>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344" customFormat="1" ht="14.25" hidden="1" customHeight="1">
      <c r="A13" s="1259"/>
      <c r="B13" s="1259"/>
      <c r="C13" s="1259"/>
      <c r="D13" s="1259"/>
      <c r="E13" s="2563"/>
      <c r="F13" s="1259"/>
      <c r="G13" s="1259"/>
      <c r="H13" s="1259"/>
      <c r="I13" s="1259"/>
      <c r="J13" s="1259"/>
      <c r="K13" s="1259"/>
      <c r="L13" s="1262"/>
      <c r="M13" s="1237"/>
      <c r="N13" s="1237"/>
      <c r="O13" s="454"/>
      <c r="P13" s="316"/>
      <c r="Q13" s="1260"/>
      <c r="R13" s="316"/>
      <c r="S13" s="1238"/>
      <c r="T13" s="1241" t="s">
        <v>415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61"/>
      <c r="AG15" s="2560" t="s">
        <v>62</v>
      </c>
      <c r="AH15" s="2561"/>
      <c r="AI15" s="2560" t="s">
        <v>62</v>
      </c>
      <c r="AQ15" s="1071">
        <v>0</v>
      </c>
    </row>
    <row r="16" spans="1:43" ht="14.25" hidden="1" customHeight="1">
      <c r="AC16" s="1276"/>
      <c r="AD16" s="1276"/>
      <c r="AE16" s="265" t="str">
        <f>AF15&amp;"-"&amp;AH15</f>
        <v>-</v>
      </c>
      <c r="AF16" s="2560"/>
      <c r="AG16" s="2560"/>
      <c r="AH16" s="2560"/>
      <c r="AI16" s="2560"/>
      <c r="AQ16" s="1071">
        <v>0</v>
      </c>
    </row>
    <row r="17" spans="1:43" ht="14.25" hidden="1" customHeight="1">
      <c r="AI17" s="264"/>
      <c r="AQ17" s="1071">
        <v>0</v>
      </c>
    </row>
    <row r="18" spans="1:43" s="2357" customFormat="1" ht="22.5" hidden="1" customHeight="1">
      <c r="L18" s="1363"/>
      <c r="M18" s="1278"/>
      <c r="N18" s="1278"/>
      <c r="O18" s="1283" t="s">
        <v>416</v>
      </c>
      <c r="P18" s="1278"/>
      <c r="Q18" s="1287"/>
      <c r="R18" s="1287"/>
      <c r="S18" s="665"/>
      <c r="Y18" s="1283"/>
      <c r="AA18" s="1283"/>
      <c r="AB18" s="1282"/>
      <c r="AF18" s="1283"/>
      <c r="AH18" s="1283"/>
      <c r="AI18" s="1282"/>
      <c r="AL18" s="447"/>
      <c r="AM18" s="447"/>
      <c r="AN18" s="447"/>
      <c r="AO18" s="447"/>
      <c r="AP18" s="447"/>
      <c r="AQ18" s="1076">
        <v>0</v>
      </c>
    </row>
    <row r="19" spans="1:43" s="2357"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357" customFormat="1" ht="12" hidden="1" customHeight="1">
      <c r="L20" s="1363"/>
      <c r="M20" s="1278"/>
      <c r="N20" s="1278"/>
      <c r="O20" s="1280" t="s">
        <v>417</v>
      </c>
      <c r="P20" s="1278"/>
      <c r="Q20" s="1358"/>
      <c r="R20" s="1358"/>
      <c r="S20" s="665"/>
      <c r="T20" s="1076" t="s">
        <v>418</v>
      </c>
      <c r="Z20" s="123" t="s">
        <v>419</v>
      </c>
      <c r="AB20" s="123" t="s">
        <v>420</v>
      </c>
      <c r="AC20" s="1076" t="s">
        <v>418</v>
      </c>
      <c r="AG20" s="123" t="s">
        <v>421</v>
      </c>
      <c r="AI20" s="123" t="s">
        <v>420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9"/>
      <c r="AQ24" s="1071">
        <v>14</v>
      </c>
    </row>
    <row r="25" spans="1:43" ht="14.65" customHeight="1">
      <c r="Q25" s="312"/>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380" customFormat="1" ht="25.5" hidden="1" customHeight="1">
      <c r="A27" s="1284"/>
      <c r="B27" s="1284"/>
      <c r="C27" s="1284"/>
      <c r="D27" s="1284"/>
      <c r="E27" s="1284"/>
      <c r="F27" s="1284"/>
      <c r="G27" s="1284"/>
      <c r="H27" s="1284"/>
      <c r="I27" s="1284"/>
      <c r="J27" s="1284"/>
      <c r="K27" s="1284"/>
      <c r="L27" s="1285"/>
      <c r="M27" s="1284"/>
      <c r="N27" s="1284"/>
      <c r="O27" s="1284"/>
      <c r="S27" s="2554" t="s">
        <v>41</v>
      </c>
      <c r="T27" s="2554"/>
      <c r="U27" s="1288"/>
      <c r="V27" s="2556" t="str">
        <f>IF(TITLE_NAME_OR_PR_CHANGE="",IF(TITLE_NAME_OR_PR="","",TITLE_NAME_OR_PR),TITLE_NAME_OR_PR_CHANGE)</f>
        <v/>
      </c>
      <c r="W27" s="2556"/>
      <c r="X27" s="2556"/>
      <c r="Y27" s="2556"/>
      <c r="Z27" s="2556"/>
      <c r="AA27" s="2556"/>
      <c r="AB27" s="263"/>
      <c r="AC27" s="2556" t="str">
        <f>IF(TITLE_NAME_OR_PR_CHANGE="",IF(TITLE_NAME_OR_PR="","",TITLE_NAME_OR_PR),TITLE_NAME_OR_PR_CHANGE)</f>
        <v/>
      </c>
      <c r="AD27" s="2556"/>
      <c r="AE27" s="2556"/>
      <c r="AF27" s="2556"/>
      <c r="AG27" s="2556"/>
      <c r="AH27" s="2556"/>
      <c r="AI27" s="263"/>
      <c r="AJ27" s="263"/>
      <c r="AK27" s="217"/>
      <c r="AL27" s="304"/>
      <c r="AM27" s="304"/>
      <c r="AN27" s="304"/>
      <c r="AO27" s="304"/>
      <c r="AP27" s="304"/>
      <c r="AQ27" s="354">
        <v>0</v>
      </c>
    </row>
    <row r="28" spans="1:43" s="2380" customFormat="1" ht="18.75" hidden="1" customHeight="1">
      <c r="A28" s="1284"/>
      <c r="B28" s="1284"/>
      <c r="C28" s="1284"/>
      <c r="D28" s="1284"/>
      <c r="E28" s="1284"/>
      <c r="F28" s="1284"/>
      <c r="G28" s="1284"/>
      <c r="H28" s="1284"/>
      <c r="I28" s="1284"/>
      <c r="J28" s="1284"/>
      <c r="K28" s="1284"/>
      <c r="L28" s="1285"/>
      <c r="M28" s="1284"/>
      <c r="N28" s="1284"/>
      <c r="O28" s="1284"/>
      <c r="S28" s="2554" t="s">
        <v>422</v>
      </c>
      <c r="T28" s="2554"/>
      <c r="U28" s="1288"/>
      <c r="V28" s="2555" t="str">
        <f>IF(TITLE_DATE_PR_CHANGE="",IF(TITLE_DATE_PR="","",TITLE_DATE_PR),TITLE_DATE_PR_CHANGE)</f>
        <v/>
      </c>
      <c r="W28" s="2555"/>
      <c r="X28" s="2555"/>
      <c r="Y28" s="2555"/>
      <c r="Z28" s="2555"/>
      <c r="AA28" s="2555"/>
      <c r="AB28" s="263"/>
      <c r="AC28" s="2555" t="str">
        <f>IF(TITLE_DATE_PR_CHANGE="",IF(TITLE_DATE_PR="","",TITLE_DATE_PR),TITLE_DATE_PR_CHANGE)</f>
        <v/>
      </c>
      <c r="AD28" s="2555"/>
      <c r="AE28" s="2555"/>
      <c r="AF28" s="2555"/>
      <c r="AG28" s="2555"/>
      <c r="AH28" s="2555"/>
      <c r="AI28" s="263"/>
      <c r="AJ28" s="263"/>
      <c r="AK28" s="217"/>
      <c r="AL28" s="304"/>
      <c r="AM28" s="304"/>
      <c r="AN28" s="304"/>
      <c r="AO28" s="304"/>
      <c r="AP28" s="304"/>
      <c r="AQ28" s="354">
        <v>0</v>
      </c>
    </row>
    <row r="29" spans="1:43" s="2380" customFormat="1" ht="18.75" hidden="1" customHeight="1">
      <c r="A29" s="1284"/>
      <c r="B29" s="1284"/>
      <c r="C29" s="1284"/>
      <c r="D29" s="1284"/>
      <c r="E29" s="1284"/>
      <c r="F29" s="1284"/>
      <c r="G29" s="1284"/>
      <c r="H29" s="1284"/>
      <c r="I29" s="1284"/>
      <c r="J29" s="1284"/>
      <c r="K29" s="1284"/>
      <c r="L29" s="1285"/>
      <c r="M29" s="1284"/>
      <c r="N29" s="1284"/>
      <c r="O29" s="1284"/>
      <c r="S29" s="2554" t="s">
        <v>423</v>
      </c>
      <c r="T29" s="2554"/>
      <c r="U29" s="1288"/>
      <c r="V29" s="2556" t="str">
        <f>IF(TITLE_NUMBER_PR_CHANGE="",IF(TITLE_NUMBER_PR="","",TITLE_NUMBER_PR),TITLE_NUMBER_PR_CHANGE)</f>
        <v/>
      </c>
      <c r="W29" s="2556"/>
      <c r="X29" s="2556"/>
      <c r="Y29" s="2556"/>
      <c r="Z29" s="2556"/>
      <c r="AA29" s="2556"/>
      <c r="AB29" s="263"/>
      <c r="AC29" s="2556" t="str">
        <f>IF(TITLE_NUMBER_PR_CHANGE="",IF(TITLE_NUMBER_PR="","",TITLE_NUMBER_PR),TITLE_NUMBER_PR_CHANGE)</f>
        <v/>
      </c>
      <c r="AD29" s="2556"/>
      <c r="AE29" s="2556"/>
      <c r="AF29" s="2556"/>
      <c r="AG29" s="2556"/>
      <c r="AH29" s="2556"/>
      <c r="AI29" s="263"/>
      <c r="AJ29" s="263"/>
      <c r="AK29" s="217"/>
      <c r="AL29" s="304"/>
      <c r="AM29" s="304"/>
      <c r="AN29" s="304"/>
      <c r="AO29" s="304"/>
      <c r="AP29" s="304"/>
      <c r="AQ29" s="354">
        <v>0</v>
      </c>
    </row>
    <row r="30" spans="1:43" s="2380" customFormat="1" ht="18.75" hidden="1" customHeight="1">
      <c r="A30" s="1284"/>
      <c r="B30" s="1284"/>
      <c r="C30" s="1284"/>
      <c r="D30" s="1284"/>
      <c r="E30" s="1284"/>
      <c r="F30" s="1284"/>
      <c r="G30" s="1284"/>
      <c r="H30" s="1284"/>
      <c r="I30" s="1284"/>
      <c r="J30" s="1284"/>
      <c r="K30" s="1284"/>
      <c r="L30" s="1285"/>
      <c r="M30" s="1284"/>
      <c r="N30" s="1284"/>
      <c r="O30" s="1284"/>
      <c r="S30" s="2554" t="s">
        <v>42</v>
      </c>
      <c r="T30" s="2554"/>
      <c r="U30" s="1288"/>
      <c r="V30" s="2556" t="str">
        <f>IF(TITLE_IST_PUB_CHANGE="",IF(TITLE_IST_PUB="","",TITLE_IST_PUB),TITLE_IST_PUB_CHANGE)</f>
        <v/>
      </c>
      <c r="W30" s="2556"/>
      <c r="X30" s="2556"/>
      <c r="Y30" s="2556"/>
      <c r="Z30" s="2556"/>
      <c r="AA30" s="2556"/>
      <c r="AB30" s="263"/>
      <c r="AC30" s="2556" t="str">
        <f>IF(TITLE_IST_PUB_CHANGE="",IF(TITLE_IST_PUB="","",TITLE_IST_PUB),TITLE_IST_PUB_CHANGE)</f>
        <v/>
      </c>
      <c r="AD30" s="2556"/>
      <c r="AE30" s="2556"/>
      <c r="AF30" s="2556"/>
      <c r="AG30" s="2556"/>
      <c r="AH30" s="2556"/>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380" customFormat="1" ht="18.75" hidden="1" customHeight="1">
      <c r="A32" s="1284"/>
      <c r="B32" s="1284"/>
      <c r="C32" s="1284"/>
      <c r="D32" s="1284"/>
      <c r="E32" s="1284"/>
      <c r="F32" s="1284"/>
      <c r="G32" s="1284"/>
      <c r="H32" s="1284"/>
      <c r="I32" s="1284"/>
      <c r="J32" s="1284"/>
      <c r="K32" s="1284"/>
      <c r="L32" s="1285"/>
      <c r="M32" s="1284"/>
      <c r="N32" s="1284"/>
      <c r="O32" s="1284"/>
      <c r="S32" s="2554" t="s">
        <v>424</v>
      </c>
      <c r="T32" s="2554"/>
      <c r="U32" s="1288"/>
      <c r="V32" s="2555" t="str">
        <f>IF(TITLE_DATE_PR_CHANGE="",IF(TITLE_DATE_PR="","",TITLE_DATE_PR),TITLE_DATE_PR_CHANGE)</f>
        <v/>
      </c>
      <c r="W32" s="2555"/>
      <c r="X32" s="2555"/>
      <c r="Y32" s="2555"/>
      <c r="Z32" s="2555"/>
      <c r="AA32" s="2555"/>
      <c r="AB32" s="263"/>
      <c r="AC32" s="2555" t="str">
        <f>IF(TITLE_DATE_PR_CHANGE="",IF(TITLE_DATE_PR="","",TITLE_DATE_PR),TITLE_DATE_PR_CHANGE)</f>
        <v/>
      </c>
      <c r="AD32" s="2555"/>
      <c r="AE32" s="2555"/>
      <c r="AF32" s="2555"/>
      <c r="AG32" s="2555"/>
      <c r="AH32" s="2555"/>
      <c r="AI32" s="263"/>
      <c r="AJ32" s="263"/>
      <c r="AK32" s="217"/>
      <c r="AL32" s="304"/>
      <c r="AM32" s="304"/>
      <c r="AN32" s="304"/>
      <c r="AO32" s="304"/>
      <c r="AP32" s="304"/>
      <c r="AQ32" s="354">
        <v>0</v>
      </c>
    </row>
    <row r="33" spans="1:43" s="2380" customFormat="1" ht="18.75" hidden="1" customHeight="1">
      <c r="A33" s="1284"/>
      <c r="B33" s="1284"/>
      <c r="C33" s="1284"/>
      <c r="D33" s="1284"/>
      <c r="E33" s="1284"/>
      <c r="F33" s="1284"/>
      <c r="G33" s="1284"/>
      <c r="H33" s="1284"/>
      <c r="I33" s="1284"/>
      <c r="J33" s="1284"/>
      <c r="K33" s="1284"/>
      <c r="L33" s="1285"/>
      <c r="M33" s="1284"/>
      <c r="N33" s="1284"/>
      <c r="O33" s="1284"/>
      <c r="S33" s="2554" t="s">
        <v>425</v>
      </c>
      <c r="T33" s="2554"/>
      <c r="U33" s="1288"/>
      <c r="V33" s="2556" t="str">
        <f>IF(TITLE_NUMBER_PR_CHANGE="",IF(TITLE_NUMBER_PR="","",TITLE_NUMBER_PR),TITLE_NUMBER_PR_CHANGE)</f>
        <v/>
      </c>
      <c r="W33" s="2556"/>
      <c r="X33" s="2556"/>
      <c r="Y33" s="2556"/>
      <c r="Z33" s="2556"/>
      <c r="AA33" s="2556"/>
      <c r="AB33" s="263"/>
      <c r="AC33" s="2556" t="str">
        <f>IF(TITLE_NUMBER_PR_CHANGE="",IF(TITLE_NUMBER_PR="","",TITLE_NUMBER_PR),TITLE_NUMBER_PR_CHANGE)</f>
        <v/>
      </c>
      <c r="AD33" s="2556"/>
      <c r="AE33" s="2556"/>
      <c r="AF33" s="2556"/>
      <c r="AG33" s="2556"/>
      <c r="AH33" s="2556"/>
      <c r="AI33" s="263"/>
      <c r="AJ33" s="263"/>
      <c r="AK33" s="217"/>
      <c r="AL33" s="304"/>
      <c r="AM33" s="304"/>
      <c r="AN33" s="304"/>
      <c r="AO33" s="304"/>
      <c r="AP33" s="304"/>
      <c r="AQ33" s="354">
        <v>0</v>
      </c>
    </row>
    <row r="34" spans="1:43" s="2380"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1"/>
      <c r="T35" s="299"/>
      <c r="U35" s="1160"/>
      <c r="V35" s="2575"/>
      <c r="W35" s="2575"/>
      <c r="X35" s="2575"/>
      <c r="Y35" s="2575"/>
      <c r="Z35" s="2575"/>
      <c r="AA35" s="2575"/>
      <c r="AB35" s="2575"/>
      <c r="AC35" s="2575"/>
      <c r="AD35" s="2575"/>
      <c r="AE35" s="2575"/>
      <c r="AF35" s="2575"/>
      <c r="AG35" s="2575"/>
      <c r="AH35" s="2575"/>
      <c r="AI35" s="2575"/>
      <c r="AQ35" s="1071">
        <v>14</v>
      </c>
    </row>
    <row r="36" spans="1:43" ht="14.65" customHeight="1">
      <c r="Q36" s="312"/>
      <c r="R36" s="312"/>
      <c r="S36" s="2435" t="s">
        <v>299</v>
      </c>
      <c r="T36" s="2435"/>
      <c r="U36" s="2435"/>
      <c r="V36" s="2435"/>
      <c r="W36" s="2435"/>
      <c r="X36" s="2435"/>
      <c r="Y36" s="2435"/>
      <c r="Z36" s="2435"/>
      <c r="AA36" s="2435"/>
      <c r="AB36" s="2435"/>
      <c r="AC36" s="2435"/>
      <c r="AD36" s="2435"/>
      <c r="AE36" s="2435"/>
      <c r="AF36" s="2435"/>
      <c r="AG36" s="2435"/>
      <c r="AH36" s="2435"/>
      <c r="AI36" s="2435"/>
      <c r="AJ36" s="2435"/>
      <c r="AK36" s="2435" t="s">
        <v>300</v>
      </c>
      <c r="AQ36" s="1071">
        <v>14</v>
      </c>
    </row>
    <row r="37" spans="1:43" ht="14.65" customHeight="1">
      <c r="Q37" s="312"/>
      <c r="R37" s="312"/>
      <c r="S37" s="2576" t="s">
        <v>88</v>
      </c>
      <c r="T37" s="2524" t="s">
        <v>427</v>
      </c>
      <c r="U37" s="238"/>
      <c r="V37" s="2577" t="s">
        <v>428</v>
      </c>
      <c r="W37" s="2578"/>
      <c r="X37" s="2578"/>
      <c r="Y37" s="2578"/>
      <c r="Z37" s="2578"/>
      <c r="AA37" s="2579"/>
      <c r="AB37" s="2580" t="s">
        <v>429</v>
      </c>
      <c r="AC37" s="2577" t="s">
        <v>428</v>
      </c>
      <c r="AD37" s="2578"/>
      <c r="AE37" s="2578"/>
      <c r="AF37" s="2578"/>
      <c r="AG37" s="2578"/>
      <c r="AH37" s="2579"/>
      <c r="AI37" s="2580" t="s">
        <v>430</v>
      </c>
      <c r="AJ37" s="2583" t="s">
        <v>431</v>
      </c>
      <c r="AK37" s="2435"/>
      <c r="AQ37" s="1071">
        <v>14</v>
      </c>
    </row>
    <row r="38" spans="1:43" ht="35.65" customHeight="1">
      <c r="Q38" s="312"/>
      <c r="R38" s="312"/>
      <c r="S38" s="2576"/>
      <c r="T38" s="2524"/>
      <c r="U38" s="953"/>
      <c r="V38" s="1368" t="s">
        <v>488</v>
      </c>
      <c r="W38" s="2417" t="s">
        <v>434</v>
      </c>
      <c r="X38" s="2416"/>
      <c r="Y38" s="2417" t="s">
        <v>435</v>
      </c>
      <c r="Z38" s="2422"/>
      <c r="AA38" s="2416"/>
      <c r="AB38" s="2581"/>
      <c r="AC38" s="1368" t="s">
        <v>488</v>
      </c>
      <c r="AD38" s="2417" t="s">
        <v>434</v>
      </c>
      <c r="AE38" s="2416"/>
      <c r="AF38" s="2417" t="s">
        <v>435</v>
      </c>
      <c r="AG38" s="2422"/>
      <c r="AH38" s="2416"/>
      <c r="AI38" s="2581"/>
      <c r="AJ38" s="2584"/>
      <c r="AK38" s="2435"/>
      <c r="AQ38" s="1071">
        <v>34</v>
      </c>
    </row>
    <row r="39" spans="1:43" ht="35.65" customHeight="1">
      <c r="A39" s="1286"/>
      <c r="B39" s="1286" t="s">
        <v>136</v>
      </c>
      <c r="C39" s="1286" t="s">
        <v>137</v>
      </c>
      <c r="D39" s="1286" t="s">
        <v>138</v>
      </c>
      <c r="E39" s="1280" t="s">
        <v>436</v>
      </c>
      <c r="F39" s="1280" t="s">
        <v>437</v>
      </c>
      <c r="G39" s="1280" t="s">
        <v>438</v>
      </c>
      <c r="H39" s="1280"/>
      <c r="I39" s="1280" t="s">
        <v>489</v>
      </c>
      <c r="J39" s="1280" t="s">
        <v>441</v>
      </c>
      <c r="K39" s="1280" t="s">
        <v>490</v>
      </c>
      <c r="L39" s="1280" t="s">
        <v>417</v>
      </c>
      <c r="Q39" s="312"/>
      <c r="R39" s="312"/>
      <c r="S39" s="2576"/>
      <c r="T39" s="2524"/>
      <c r="U39" s="239"/>
      <c r="V39" s="1368" t="s">
        <v>491</v>
      </c>
      <c r="W39" s="1138" t="s">
        <v>492</v>
      </c>
      <c r="X39" s="1138" t="s">
        <v>493</v>
      </c>
      <c r="Y39" s="1371" t="s">
        <v>445</v>
      </c>
      <c r="Z39" s="2529" t="s">
        <v>446</v>
      </c>
      <c r="AA39" s="2543"/>
      <c r="AB39" s="2582"/>
      <c r="AC39" s="1368" t="s">
        <v>491</v>
      </c>
      <c r="AD39" s="1138" t="s">
        <v>492</v>
      </c>
      <c r="AE39" s="1138" t="s">
        <v>493</v>
      </c>
      <c r="AF39" s="1371" t="s">
        <v>445</v>
      </c>
      <c r="AG39" s="2529" t="s">
        <v>446</v>
      </c>
      <c r="AH39" s="2543"/>
      <c r="AI39" s="2582"/>
      <c r="AJ39" s="2585"/>
      <c r="AK39" s="2435"/>
      <c r="AQ39" s="1071">
        <v>34</v>
      </c>
    </row>
    <row r="40" spans="1:43" s="2335"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109</v>
      </c>
      <c r="T40" s="1171" t="s">
        <v>110</v>
      </c>
      <c r="U40" s="1161" t="str">
        <f ca="1">OFFSET(U40,0,-1)</f>
        <v>2</v>
      </c>
      <c r="V40" s="1367">
        <f ca="1">OFFSET(V40,0,-1)+1</f>
        <v>3</v>
      </c>
      <c r="W40" s="1367">
        <f ca="1">OFFSET(W40,0,-1)+1</f>
        <v>4</v>
      </c>
      <c r="X40" s="1367">
        <f ca="1">OFFSET(X40,0,-1)+1</f>
        <v>5</v>
      </c>
      <c r="Y40" s="1367">
        <f ca="1">OFFSET(Y40,0,-1)+1</f>
        <v>6</v>
      </c>
      <c r="Z40" s="2574">
        <f ca="1">OFFSET(Z40,0,-1)+1</f>
        <v>7</v>
      </c>
      <c r="AA40" s="2574"/>
      <c r="AB40" s="1367">
        <f ca="1">OFFSET(AB40,0,-2)+1</f>
        <v>8</v>
      </c>
      <c r="AC40" s="1367">
        <f ca="1">OFFSET(AC40,0,-1)+1</f>
        <v>9</v>
      </c>
      <c r="AD40" s="1367">
        <f ca="1">OFFSET(AD40,0,-1)+1</f>
        <v>10</v>
      </c>
      <c r="AE40" s="1367">
        <f ca="1">OFFSET(AE40,0,-1)+1</f>
        <v>11</v>
      </c>
      <c r="AF40" s="1367">
        <f ca="1">OFFSET(AF40,0,-1)+1</f>
        <v>12</v>
      </c>
      <c r="AG40" s="2574">
        <f ca="1">OFFSET(AG40,0,-1)+1</f>
        <v>13</v>
      </c>
      <c r="AH40" s="2574"/>
      <c r="AI40" s="1367">
        <f ca="1">OFFSET(AI40,0,-2)+1</f>
        <v>14</v>
      </c>
      <c r="AJ40" s="1161">
        <f ca="1">OFFSET(AJ40,0,-1)</f>
        <v>14</v>
      </c>
      <c r="AK40" s="1367">
        <f ca="1">OFFSET(AK40,0,-1)+1</f>
        <v>15</v>
      </c>
      <c r="AL40" s="447"/>
      <c r="AM40" s="447"/>
      <c r="AN40" s="447"/>
      <c r="AO40" s="447"/>
      <c r="AP40" s="447"/>
      <c r="AQ40" s="432">
        <v>0</v>
      </c>
    </row>
    <row r="41" spans="1:43" ht="24" customHeight="1">
      <c r="A41" s="1279" t="s">
        <v>230</v>
      </c>
      <c r="B41" s="1279"/>
      <c r="C41" s="1279"/>
      <c r="D41" s="1279"/>
      <c r="E41" s="2563">
        <v>1</v>
      </c>
      <c r="F41" s="1279"/>
      <c r="G41" s="1279"/>
      <c r="H41" s="1279"/>
      <c r="I41" s="1279"/>
      <c r="J41" s="1279"/>
      <c r="K41" s="1279"/>
      <c r="L41" s="1280"/>
      <c r="M41" s="1281"/>
      <c r="N41" s="1281"/>
      <c r="O41" s="1281"/>
      <c r="P41" s="297"/>
      <c r="Q41" s="296"/>
      <c r="R41" s="291"/>
      <c r="S41" s="1373">
        <f>INDEX(PT_DIFFERENTIATION_NUM_NTAR,MATCH(A41,PT_DIFFERENTIATION_NTAR_ID,0))</f>
        <v>0</v>
      </c>
      <c r="T41" s="235" t="s">
        <v>124</v>
      </c>
      <c r="U41" s="237"/>
      <c r="V41" s="2557"/>
      <c r="W41" s="2558"/>
      <c r="X41" s="2558"/>
      <c r="Y41" s="2558"/>
      <c r="Z41" s="2558"/>
      <c r="AA41" s="2558"/>
      <c r="AB41" s="2559"/>
      <c r="AC41" s="2557" t="str">
        <f>INDEX(PT_DIFFERENTIATION_NTAR,MATCH(A41,PT_DIFFERENTIATION_NTAR_ID,0))</f>
        <v/>
      </c>
      <c r="AD41" s="2558"/>
      <c r="AE41" s="2558"/>
      <c r="AF41" s="2558"/>
      <c r="AG41" s="2558"/>
      <c r="AH41" s="2558"/>
      <c r="AI41" s="2558"/>
      <c r="AJ41" s="255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230</v>
      </c>
      <c r="B42" s="1279" t="s">
        <v>231</v>
      </c>
      <c r="C42" s="1279"/>
      <c r="D42" s="1279"/>
      <c r="E42" s="2564"/>
      <c r="F42" s="2563">
        <v>1</v>
      </c>
      <c r="G42" s="1279"/>
      <c r="H42" s="1279"/>
      <c r="I42" s="1279"/>
      <c r="J42" s="1279"/>
      <c r="K42" s="1279"/>
      <c r="L42" s="1280"/>
      <c r="M42" s="1281"/>
      <c r="N42" s="1281"/>
      <c r="O42" s="1281"/>
      <c r="P42" s="1369"/>
      <c r="Q42" s="288"/>
      <c r="R42" s="289"/>
      <c r="S42" s="1373" t="str">
        <f>INDEX(PT_DIFFERENTIATION_NUM_TER,MATCH(B42,PT_DIFFERENTIATION_TER_ID,0))</f>
        <v>.</v>
      </c>
      <c r="T42" s="245" t="s">
        <v>396</v>
      </c>
      <c r="U42" s="237"/>
      <c r="V42" s="2557"/>
      <c r="W42" s="2558"/>
      <c r="X42" s="2558"/>
      <c r="Y42" s="2558"/>
      <c r="Z42" s="2558"/>
      <c r="AA42" s="2558"/>
      <c r="AB42" s="2559"/>
      <c r="AC42" s="2557" t="str">
        <f>INDEX(PT_DIFFERENTIATION_TER,MATCH(B42,PT_DIFFERENTIATION_TER_ID,0))</f>
        <v/>
      </c>
      <c r="AD42" s="2558"/>
      <c r="AE42" s="2558"/>
      <c r="AF42" s="2558"/>
      <c r="AG42" s="2558"/>
      <c r="AH42" s="2558"/>
      <c r="AI42" s="2558"/>
      <c r="AJ42" s="2559"/>
      <c r="AK42" s="1174" t="s">
        <v>397</v>
      </c>
      <c r="AM42" s="436"/>
      <c r="AN42" s="436" t="str">
        <f t="shared" si="1"/>
        <v>Территория действия тарифа</v>
      </c>
      <c r="AO42" s="436"/>
      <c r="AP42" s="436"/>
      <c r="AQ42" s="1071">
        <v>23</v>
      </c>
    </row>
    <row r="43" spans="1:43" ht="24" customHeight="1">
      <c r="A43" s="1279" t="s">
        <v>230</v>
      </c>
      <c r="B43" s="1279" t="s">
        <v>231</v>
      </c>
      <c r="C43" s="1279" t="s">
        <v>232</v>
      </c>
      <c r="D43" s="1279"/>
      <c r="E43" s="2564"/>
      <c r="F43" s="2564"/>
      <c r="G43" s="2563">
        <v>1</v>
      </c>
      <c r="H43" s="1279"/>
      <c r="I43" s="1279"/>
      <c r="J43" s="1279"/>
      <c r="K43" s="1279"/>
      <c r="L43" s="1280"/>
      <c r="M43" s="1281"/>
      <c r="N43" s="1281"/>
      <c r="O43" s="1281"/>
      <c r="P43" s="290"/>
      <c r="Q43" s="288"/>
      <c r="R43" s="289"/>
      <c r="S43" s="1373" t="str">
        <f>INDEX(PT_DIFFERENTIATION_NUM_CS,MATCH(C43,PT_DIFFERENTIATION_CS_ID,0))</f>
        <v>..</v>
      </c>
      <c r="T43" s="246" t="s">
        <v>480</v>
      </c>
      <c r="U43" s="237"/>
      <c r="V43" s="2557"/>
      <c r="W43" s="2558"/>
      <c r="X43" s="2558"/>
      <c r="Y43" s="2558"/>
      <c r="Z43" s="2558"/>
      <c r="AA43" s="2558"/>
      <c r="AB43" s="2559"/>
      <c r="AC43" s="2557" t="str">
        <f>INDEX(PT_DIFFERENTIATION_CS,MATCH(C43,PT_DIFFERENTIATION_CS_ID,0))</f>
        <v/>
      </c>
      <c r="AD43" s="2558"/>
      <c r="AE43" s="2558"/>
      <c r="AF43" s="2558"/>
      <c r="AG43" s="2558"/>
      <c r="AH43" s="2558"/>
      <c r="AI43" s="2558"/>
      <c r="AJ43" s="2559"/>
      <c r="AK43" s="1174" t="s">
        <v>481</v>
      </c>
      <c r="AM43" s="436"/>
      <c r="AN43" s="436" t="str">
        <f t="shared" si="1"/>
        <v>Наименование централизованной системы холодного водоснабжения</v>
      </c>
      <c r="AO43" s="436"/>
      <c r="AP43" s="436"/>
      <c r="AQ43" s="1071">
        <v>23</v>
      </c>
    </row>
    <row r="44" spans="1:43" ht="24" customHeight="1">
      <c r="A44" s="1279" t="s">
        <v>230</v>
      </c>
      <c r="B44" s="1279" t="s">
        <v>231</v>
      </c>
      <c r="C44" s="1279" t="s">
        <v>232</v>
      </c>
      <c r="D44" s="1279" t="s">
        <v>495</v>
      </c>
      <c r="E44" s="2564"/>
      <c r="F44" s="2564"/>
      <c r="G44" s="2564"/>
      <c r="H44" s="2564"/>
      <c r="I44" s="2565" t="str">
        <f>S43&amp;".1"</f>
        <v>...1</v>
      </c>
      <c r="J44" s="1279"/>
      <c r="K44" s="1279"/>
      <c r="L44" s="1280"/>
      <c r="P44" s="2567">
        <v>1</v>
      </c>
      <c r="Q44" s="1366"/>
      <c r="R44" s="292"/>
      <c r="S44" s="1373" t="str">
        <f>$I44</f>
        <v>...1</v>
      </c>
      <c r="T44" s="222" t="s">
        <v>482</v>
      </c>
      <c r="U44" s="237"/>
      <c r="V44" s="2631"/>
      <c r="W44" s="2632"/>
      <c r="X44" s="2632"/>
      <c r="Y44" s="2632"/>
      <c r="Z44" s="2632"/>
      <c r="AA44" s="2632"/>
      <c r="AB44" s="2633"/>
      <c r="AC44" s="2634"/>
      <c r="AD44" s="2635"/>
      <c r="AE44" s="2635"/>
      <c r="AF44" s="2635"/>
      <c r="AG44" s="2635"/>
      <c r="AH44" s="2635"/>
      <c r="AI44" s="2635"/>
      <c r="AJ44" s="2636"/>
      <c r="AK44" s="1174" t="s">
        <v>483</v>
      </c>
      <c r="AM44" s="436"/>
      <c r="AN44" s="436" t="str">
        <f t="shared" si="1"/>
        <v>Наименование признака дифференциации</v>
      </c>
      <c r="AO44" s="436"/>
      <c r="AP44" s="436"/>
      <c r="AQ44" s="1071">
        <v>23</v>
      </c>
    </row>
    <row r="45" spans="1:43" ht="24" customHeight="1">
      <c r="A45" s="1279" t="s">
        <v>230</v>
      </c>
      <c r="B45" s="1279" t="s">
        <v>231</v>
      </c>
      <c r="C45" s="1279" t="s">
        <v>232</v>
      </c>
      <c r="D45" s="1279" t="s">
        <v>495</v>
      </c>
      <c r="E45" s="2564"/>
      <c r="F45" s="2564"/>
      <c r="G45" s="2564"/>
      <c r="H45" s="2564"/>
      <c r="I45" s="2566"/>
      <c r="J45" s="2565" t="str">
        <f>I44&amp;".1"</f>
        <v>...1.1</v>
      </c>
      <c r="K45" s="1279"/>
      <c r="L45" s="1280" t="s">
        <v>405</v>
      </c>
      <c r="P45" s="2567"/>
      <c r="Q45" s="2567">
        <v>1</v>
      </c>
      <c r="R45" s="293"/>
      <c r="S45" s="1373" t="str">
        <f>$J45</f>
        <v>...1.1</v>
      </c>
      <c r="T45" s="223" t="s">
        <v>406</v>
      </c>
      <c r="U45" s="237"/>
      <c r="V45" s="2551"/>
      <c r="W45" s="2552"/>
      <c r="X45" s="2552"/>
      <c r="Y45" s="2552"/>
      <c r="Z45" s="2552"/>
      <c r="AA45" s="2552"/>
      <c r="AB45" s="2553"/>
      <c r="AC45" s="2551"/>
      <c r="AD45" s="2552"/>
      <c r="AE45" s="2552"/>
      <c r="AF45" s="2552"/>
      <c r="AG45" s="2552"/>
      <c r="AH45" s="2552"/>
      <c r="AI45" s="2552"/>
      <c r="AJ45" s="2553"/>
      <c r="AK45" s="1223" t="s">
        <v>484</v>
      </c>
      <c r="AM45" s="436"/>
      <c r="AN45" s="436" t="str">
        <f t="shared" si="1"/>
        <v>Группа потребителей</v>
      </c>
      <c r="AO45" s="436"/>
      <c r="AP45" s="436"/>
      <c r="AQ45" s="1071">
        <v>23</v>
      </c>
    </row>
    <row r="46" spans="1:43" ht="24" customHeight="1">
      <c r="A46" s="1279" t="s">
        <v>230</v>
      </c>
      <c r="B46" s="1279" t="s">
        <v>231</v>
      </c>
      <c r="C46" s="1279" t="s">
        <v>232</v>
      </c>
      <c r="D46" s="1279" t="s">
        <v>495</v>
      </c>
      <c r="E46" s="2564"/>
      <c r="F46" s="2564"/>
      <c r="G46" s="2564"/>
      <c r="H46" s="2564"/>
      <c r="I46" s="2566"/>
      <c r="J46" s="2566"/>
      <c r="K46" s="2565" t="str">
        <f>J45&amp;".1"</f>
        <v>...1.1.1</v>
      </c>
      <c r="L46" s="1280"/>
      <c r="P46" s="2567"/>
      <c r="Q46" s="2567"/>
      <c r="R46" s="293">
        <v>1</v>
      </c>
      <c r="S46" s="1373" t="str">
        <f>$K46</f>
        <v>...1.1.1</v>
      </c>
      <c r="T46" s="1353"/>
      <c r="U46" s="237"/>
      <c r="V46" s="687"/>
      <c r="W46" s="687"/>
      <c r="X46" s="1173"/>
      <c r="Y46" s="2568"/>
      <c r="Z46" s="2445" t="s">
        <v>62</v>
      </c>
      <c r="AA46" s="2568"/>
      <c r="AB46" s="2445" t="s">
        <v>62</v>
      </c>
      <c r="AC46" s="687"/>
      <c r="AD46" s="687"/>
      <c r="AE46" s="1173"/>
      <c r="AF46" s="2568"/>
      <c r="AG46" s="2445" t="s">
        <v>62</v>
      </c>
      <c r="AH46" s="2570"/>
      <c r="AI46" s="2445" t="s">
        <v>62</v>
      </c>
      <c r="AJ46" s="1354"/>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230</v>
      </c>
      <c r="B47" s="1279" t="s">
        <v>231</v>
      </c>
      <c r="C47" s="1279" t="s">
        <v>232</v>
      </c>
      <c r="D47" s="1279" t="s">
        <v>495</v>
      </c>
      <c r="E47" s="2564"/>
      <c r="F47" s="2564"/>
      <c r="G47" s="2564"/>
      <c r="H47" s="2564"/>
      <c r="I47" s="2566"/>
      <c r="J47" s="2566"/>
      <c r="K47" s="2565"/>
      <c r="L47" s="1280"/>
      <c r="P47" s="2567"/>
      <c r="Q47" s="2567"/>
      <c r="R47" s="293"/>
      <c r="S47" s="1372"/>
      <c r="T47" s="237"/>
      <c r="U47" s="237"/>
      <c r="V47" s="262"/>
      <c r="W47" s="262"/>
      <c r="X47" s="265" t="str">
        <f>Y46&amp;"-"&amp;AA46</f>
        <v>-</v>
      </c>
      <c r="Y47" s="2569"/>
      <c r="Z47" s="2445"/>
      <c r="AA47" s="2569"/>
      <c r="AB47" s="2445"/>
      <c r="AC47" s="262"/>
      <c r="AD47" s="262"/>
      <c r="AE47" s="265" t="str">
        <f>AF46&amp;"-"&amp;AH46</f>
        <v>-</v>
      </c>
      <c r="AF47" s="2569"/>
      <c r="AG47" s="2445"/>
      <c r="AH47" s="2571"/>
      <c r="AI47" s="2445"/>
      <c r="AJ47" s="1355"/>
      <c r="AK47" s="2637"/>
      <c r="AM47" s="436"/>
      <c r="AN47" s="436" t="str">
        <f t="shared" si="1"/>
        <v/>
      </c>
      <c r="AO47" s="436"/>
      <c r="AP47" s="436"/>
      <c r="AQ47" s="1071">
        <v>0</v>
      </c>
    </row>
    <row r="48" spans="1:43" ht="21" customHeight="1">
      <c r="A48" s="1279" t="s">
        <v>230</v>
      </c>
      <c r="B48" s="1279" t="s">
        <v>231</v>
      </c>
      <c r="C48" s="1279" t="s">
        <v>232</v>
      </c>
      <c r="D48" s="1279" t="s">
        <v>495</v>
      </c>
      <c r="E48" s="2564"/>
      <c r="F48" s="2564"/>
      <c r="G48" s="2564"/>
      <c r="H48" s="2564"/>
      <c r="I48" s="2566"/>
      <c r="J48" s="2565"/>
      <c r="K48" s="1279"/>
      <c r="L48" s="1280"/>
      <c r="P48" s="2567"/>
      <c r="Q48" s="2567"/>
      <c r="R48" s="292"/>
      <c r="S48" s="1194"/>
      <c r="T48" s="224" t="s">
        <v>485</v>
      </c>
      <c r="U48" s="303"/>
      <c r="V48" s="303"/>
      <c r="W48" s="303"/>
      <c r="X48" s="303"/>
      <c r="Y48" s="303"/>
      <c r="Z48" s="303"/>
      <c r="AA48" s="303"/>
      <c r="AB48" s="303"/>
      <c r="AC48" s="303"/>
      <c r="AD48" s="303"/>
      <c r="AE48" s="303"/>
      <c r="AF48" s="303"/>
      <c r="AG48" s="303"/>
      <c r="AH48" s="303"/>
      <c r="AI48" s="303"/>
      <c r="AJ48" s="303"/>
      <c r="AK48" s="1174" t="s">
        <v>486</v>
      </c>
      <c r="AM48" s="436"/>
      <c r="AN48" s="436" t="str">
        <f t="shared" si="1"/>
        <v>Добавить значение признака дифференциации</v>
      </c>
      <c r="AO48" s="436"/>
      <c r="AP48" s="436"/>
      <c r="AQ48" s="1071">
        <v>20</v>
      </c>
    </row>
    <row r="49" spans="1:43" ht="21.95" customHeight="1">
      <c r="A49" s="1279" t="s">
        <v>230</v>
      </c>
      <c r="B49" s="1279" t="s">
        <v>231</v>
      </c>
      <c r="C49" s="1279" t="s">
        <v>232</v>
      </c>
      <c r="D49" s="1279" t="s">
        <v>495</v>
      </c>
      <c r="E49" s="2564"/>
      <c r="F49" s="2564"/>
      <c r="G49" s="2564"/>
      <c r="H49" s="2564"/>
      <c r="I49" s="2565"/>
      <c r="J49" s="1279"/>
      <c r="K49" s="1279"/>
      <c r="L49" s="1280"/>
      <c r="P49" s="2567"/>
      <c r="Q49" s="1366"/>
      <c r="R49" s="292"/>
      <c r="S49" s="1194"/>
      <c r="T49" s="301" t="s">
        <v>411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230</v>
      </c>
      <c r="B50" s="1279" t="s">
        <v>231</v>
      </c>
      <c r="C50" s="1279" t="s">
        <v>232</v>
      </c>
      <c r="D50" s="1279" t="s">
        <v>495</v>
      </c>
      <c r="E50" s="2564"/>
      <c r="F50" s="2564"/>
      <c r="G50" s="2564"/>
      <c r="H50" s="2563"/>
      <c r="I50" s="1279"/>
      <c r="J50" s="1279"/>
      <c r="K50" s="1279"/>
      <c r="L50" s="1280"/>
      <c r="M50" s="1281"/>
      <c r="N50" s="1281"/>
      <c r="O50" s="473"/>
      <c r="P50" s="296"/>
      <c r="Q50" s="311"/>
      <c r="R50" s="291"/>
      <c r="S50" s="119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344" customFormat="1" ht="0" hidden="1" customHeight="1">
      <c r="A51" s="1259" t="s">
        <v>230</v>
      </c>
      <c r="B51" s="1259" t="s">
        <v>231</v>
      </c>
      <c r="C51" s="1230"/>
      <c r="D51" s="1230"/>
      <c r="E51" s="2564"/>
      <c r="F51" s="2563"/>
      <c r="G51" s="1230"/>
      <c r="H51" s="1230"/>
      <c r="I51" s="1230"/>
      <c r="J51" s="1230"/>
      <c r="K51" s="1230"/>
      <c r="L51" s="1374"/>
      <c r="M51" s="1237"/>
      <c r="N51" s="1237"/>
      <c r="P51" s="1232"/>
      <c r="Q51" s="1233"/>
      <c r="R51" s="1232"/>
      <c r="S51" s="1238"/>
      <c r="T51" s="1241" t="s">
        <v>414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344" customFormat="1" ht="0" hidden="1" customHeight="1">
      <c r="A52" s="1259" t="s">
        <v>230</v>
      </c>
      <c r="B52" s="1259"/>
      <c r="C52" s="1259"/>
      <c r="D52" s="1259"/>
      <c r="E52" s="2563"/>
      <c r="F52" s="1259"/>
      <c r="G52" s="1259"/>
      <c r="H52" s="1259"/>
      <c r="I52" s="1259"/>
      <c r="J52" s="1259"/>
      <c r="K52" s="1259"/>
      <c r="L52" s="1262"/>
      <c r="M52" s="1237"/>
      <c r="N52" s="1237"/>
      <c r="O52" s="454"/>
      <c r="P52" s="316"/>
      <c r="Q52" s="1260"/>
      <c r="R52" s="316"/>
      <c r="S52" s="1238"/>
      <c r="T52" s="1241" t="s">
        <v>415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344"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447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62"/>
      <c r="U55" s="2562"/>
      <c r="V55" s="2562"/>
      <c r="W55" s="2562"/>
      <c r="X55" s="2562"/>
      <c r="Y55" s="2562"/>
      <c r="Z55" s="2562"/>
      <c r="AA55" s="2562"/>
      <c r="AB55" s="2562"/>
      <c r="AC55" s="2562"/>
      <c r="AD55" s="2562"/>
      <c r="AE55" s="2562"/>
      <c r="AF55" s="2562"/>
      <c r="AG55" s="2562"/>
      <c r="AH55" s="2562"/>
      <c r="AI55" s="2562"/>
      <c r="AJ55" s="2562"/>
      <c r="AK55" s="2562"/>
      <c r="AQ55" s="1071">
        <v>14</v>
      </c>
    </row>
    <row r="56" spans="1:43" ht="14.65" customHeight="1">
      <c r="O56" s="473"/>
      <c r="AQ56" s="1071">
        <v>14</v>
      </c>
    </row>
    <row r="57" spans="1:43" ht="14.65" customHeight="1">
      <c r="O57" s="473"/>
      <c r="S57" s="1169"/>
      <c r="T57" s="2562"/>
      <c r="U57" s="2562"/>
      <c r="V57" s="2562"/>
      <c r="W57" s="2562"/>
      <c r="X57" s="2562"/>
      <c r="Y57" s="2562"/>
      <c r="Z57" s="2562"/>
      <c r="AA57" s="2562"/>
      <c r="AB57" s="2562"/>
      <c r="AC57" s="2562"/>
      <c r="AD57" s="2562"/>
      <c r="AE57" s="2562"/>
      <c r="AF57" s="2562"/>
      <c r="AG57" s="2562"/>
      <c r="AH57" s="2562"/>
      <c r="AI57" s="2562"/>
      <c r="AJ57" s="2562"/>
      <c r="AK57" s="2562"/>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4.140625" style="2357" hidden="1" customWidth="1"/>
    <col min="10" max="10" width="9.85546875" style="2357" hidden="1" customWidth="1"/>
    <col min="11" max="11" width="14.710937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4" width="24.7109375" style="2360" hidden="1" customWidth="1"/>
    <col min="25" max="25" width="11.7109375" style="2360" hidden="1" customWidth="1"/>
    <col min="26" max="26" width="3.7109375" style="2360" hidden="1" customWidth="1"/>
    <col min="27" max="27" width="11.7109375" style="2360" hidden="1" customWidth="1"/>
    <col min="28" max="28" width="8.5703125" style="2360" hidden="1" customWidth="1"/>
    <col min="29" max="29" width="24.7109375" style="2360" customWidth="1"/>
    <col min="30" max="31" width="24" style="2360" customWidth="1"/>
    <col min="32" max="32" width="11" style="2360" customWidth="1"/>
    <col min="33" max="33" width="3.7109375" style="2360" customWidth="1"/>
    <col min="34" max="34" width="11" style="2360" customWidth="1"/>
    <col min="35" max="35" width="8.5703125" style="2360" hidden="1" customWidth="1"/>
    <col min="36" max="36" width="4" style="2360" customWidth="1"/>
    <col min="37" max="37" width="115" style="2360" customWidth="1"/>
    <col min="38" max="42" width="10" style="2344" customWidth="1"/>
    <col min="43" max="43" width="10.5703125" style="2360" hidden="1"/>
  </cols>
  <sheetData>
    <row r="1" spans="1:43" ht="22.5" hidden="1" customHeight="1">
      <c r="X1" s="264"/>
      <c r="Y1" s="264"/>
      <c r="AE1" s="264"/>
      <c r="AF1" s="264"/>
      <c r="AQ1" s="1071" t="s">
        <v>14</v>
      </c>
    </row>
    <row r="2" spans="1:43" ht="23.25" hidden="1" customHeight="1">
      <c r="A2" s="1279"/>
      <c r="B2" s="1279"/>
      <c r="C2" s="1279"/>
      <c r="D2" s="1279"/>
      <c r="E2" s="2563">
        <v>1</v>
      </c>
      <c r="F2" s="1279"/>
      <c r="G2" s="1279"/>
      <c r="H2" s="1279"/>
      <c r="I2" s="1279"/>
      <c r="J2" s="1279"/>
      <c r="K2" s="1279"/>
      <c r="L2" s="1280"/>
      <c r="M2" s="1281"/>
      <c r="N2" s="1281"/>
      <c r="O2" s="1281"/>
      <c r="P2" s="297"/>
      <c r="Q2" s="296"/>
      <c r="R2" s="291"/>
      <c r="S2" s="1373" t="e">
        <f>INDEX(PT_DIFFERENTIATION_NUM_NTAR,MATCH(A2,PT_DIFFERENTIATION_NTAR_ID,0))</f>
        <v>#N/A</v>
      </c>
      <c r="T2" s="235" t="s">
        <v>124</v>
      </c>
      <c r="U2" s="237"/>
      <c r="V2" s="2557"/>
      <c r="W2" s="2558"/>
      <c r="X2" s="2558"/>
      <c r="Y2" s="2558"/>
      <c r="Z2" s="2558"/>
      <c r="AA2" s="2558"/>
      <c r="AB2" s="2559"/>
      <c r="AC2" s="2557" t="e">
        <f>INDEX(PT_DIFFERENTIATION_NTAR,MATCH(A2,PT_DIFFERENTIATION_NTAR_ID,0))</f>
        <v>#N/A</v>
      </c>
      <c r="AD2" s="2558"/>
      <c r="AE2" s="2558"/>
      <c r="AF2" s="2558"/>
      <c r="AG2" s="2558"/>
      <c r="AH2" s="2558"/>
      <c r="AI2" s="2558"/>
      <c r="AJ2" s="255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564"/>
      <c r="F3" s="2563">
        <v>1</v>
      </c>
      <c r="G3" s="1279"/>
      <c r="H3" s="1279"/>
      <c r="I3" s="1279"/>
      <c r="J3" s="1279"/>
      <c r="K3" s="1279"/>
      <c r="L3" s="1280"/>
      <c r="M3" s="1281"/>
      <c r="N3" s="1281"/>
      <c r="O3" s="1281"/>
      <c r="P3" s="1369"/>
      <c r="Q3" s="288"/>
      <c r="R3" s="289"/>
      <c r="S3" s="1373" t="e">
        <f>INDEX(PT_DIFFERENTIATION_NUM_TER,MATCH(B3,PT_DIFFERENTIATION_TER_ID,0))</f>
        <v>#N/A</v>
      </c>
      <c r="T3" s="245" t="s">
        <v>396</v>
      </c>
      <c r="U3" s="237"/>
      <c r="V3" s="2557"/>
      <c r="W3" s="2558"/>
      <c r="X3" s="2558"/>
      <c r="Y3" s="2558"/>
      <c r="Z3" s="2558"/>
      <c r="AA3" s="2558"/>
      <c r="AB3" s="2559"/>
      <c r="AC3" s="2557" t="e">
        <f>INDEX(PT_DIFFERENTIATION_TER,MATCH(B3,PT_DIFFERENTIATION_TER_ID,0))</f>
        <v>#N/A</v>
      </c>
      <c r="AD3" s="2558"/>
      <c r="AE3" s="2558"/>
      <c r="AF3" s="2558"/>
      <c r="AG3" s="2558"/>
      <c r="AH3" s="2558"/>
      <c r="AI3" s="2558"/>
      <c r="AJ3" s="2559"/>
      <c r="AK3" s="1174" t="s">
        <v>397</v>
      </c>
      <c r="AM3" s="436"/>
      <c r="AN3" s="436" t="str">
        <f t="shared" si="0"/>
        <v>Территория действия тарифа</v>
      </c>
      <c r="AO3" s="436"/>
      <c r="AP3" s="436"/>
      <c r="AQ3" s="1071">
        <v>0</v>
      </c>
    </row>
    <row r="4" spans="1:43" ht="23.25" hidden="1" customHeight="1">
      <c r="A4" s="1279"/>
      <c r="B4" s="1279"/>
      <c r="C4" s="1279"/>
      <c r="D4" s="1279"/>
      <c r="E4" s="2564"/>
      <c r="F4" s="2564"/>
      <c r="G4" s="2563">
        <v>1</v>
      </c>
      <c r="H4" s="1279"/>
      <c r="I4" s="1279"/>
      <c r="J4" s="1279"/>
      <c r="K4" s="1279"/>
      <c r="L4" s="1280"/>
      <c r="M4" s="1281"/>
      <c r="N4" s="1281"/>
      <c r="O4" s="1281"/>
      <c r="P4" s="290"/>
      <c r="Q4" s="288"/>
      <c r="R4" s="289"/>
      <c r="S4" s="1373" t="e">
        <f>INDEX(PT_DIFFERENTIATION_NUM_CS,MATCH(C4,PT_DIFFERENTIATION_CS_ID,0))</f>
        <v>#N/A</v>
      </c>
      <c r="T4" s="246" t="s">
        <v>480</v>
      </c>
      <c r="U4" s="237"/>
      <c r="V4" s="2557"/>
      <c r="W4" s="2558"/>
      <c r="X4" s="2558"/>
      <c r="Y4" s="2558"/>
      <c r="Z4" s="2558"/>
      <c r="AA4" s="2558"/>
      <c r="AB4" s="2559"/>
      <c r="AC4" s="2557" t="e">
        <f>INDEX(PT_DIFFERENTIATION_CS,MATCH(C4,PT_DIFFERENTIATION_CS_ID,0))</f>
        <v>#N/A</v>
      </c>
      <c r="AD4" s="2558"/>
      <c r="AE4" s="2558"/>
      <c r="AF4" s="2558"/>
      <c r="AG4" s="2558"/>
      <c r="AH4" s="2558"/>
      <c r="AI4" s="2558"/>
      <c r="AJ4" s="2559"/>
      <c r="AK4" s="1174" t="s">
        <v>481</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564"/>
      <c r="F5" s="2564"/>
      <c r="G5" s="2564"/>
      <c r="H5" s="2564"/>
      <c r="I5" s="2565" t="e">
        <f>S4&amp;".1"</f>
        <v>#N/A</v>
      </c>
      <c r="J5" s="1279"/>
      <c r="K5" s="1279"/>
      <c r="L5" s="1280"/>
      <c r="P5" s="2567">
        <v>1</v>
      </c>
      <c r="Q5" s="1366"/>
      <c r="R5" s="292"/>
      <c r="S5" s="1373" t="e">
        <f>$I5</f>
        <v>#N/A</v>
      </c>
      <c r="T5" s="222" t="s">
        <v>482</v>
      </c>
      <c r="U5" s="237"/>
      <c r="V5" s="2631"/>
      <c r="W5" s="2632"/>
      <c r="X5" s="2632"/>
      <c r="Y5" s="2632"/>
      <c r="Z5" s="2632"/>
      <c r="AA5" s="2632"/>
      <c r="AB5" s="2633"/>
      <c r="AC5" s="2634"/>
      <c r="AD5" s="2635"/>
      <c r="AE5" s="2635"/>
      <c r="AF5" s="2635"/>
      <c r="AG5" s="2635"/>
      <c r="AH5" s="2635"/>
      <c r="AI5" s="2635"/>
      <c r="AJ5" s="2636"/>
      <c r="AK5" s="1174" t="s">
        <v>483</v>
      </c>
      <c r="AM5" s="436"/>
      <c r="AN5" s="436" t="str">
        <f t="shared" si="0"/>
        <v>Наименование признака дифференциации</v>
      </c>
      <c r="AO5" s="436"/>
      <c r="AP5" s="436"/>
      <c r="AQ5" s="1071">
        <v>0</v>
      </c>
    </row>
    <row r="6" spans="1:43" ht="23.25" hidden="1" customHeight="1">
      <c r="A6" s="1279"/>
      <c r="B6" s="1279"/>
      <c r="C6" s="1279"/>
      <c r="D6" s="1279"/>
      <c r="E6" s="2564"/>
      <c r="F6" s="2564"/>
      <c r="G6" s="2564"/>
      <c r="H6" s="2564"/>
      <c r="I6" s="2566"/>
      <c r="J6" s="2565" t="e">
        <f>I5&amp;".1"</f>
        <v>#N/A</v>
      </c>
      <c r="K6" s="1279"/>
      <c r="L6" s="1280" t="s">
        <v>405</v>
      </c>
      <c r="P6" s="2567"/>
      <c r="Q6" s="2567">
        <v>1</v>
      </c>
      <c r="R6" s="293"/>
      <c r="S6" s="1373" t="e">
        <f>$J6</f>
        <v>#N/A</v>
      </c>
      <c r="T6" s="223" t="s">
        <v>406</v>
      </c>
      <c r="U6" s="237"/>
      <c r="V6" s="2551"/>
      <c r="W6" s="2552"/>
      <c r="X6" s="2552"/>
      <c r="Y6" s="2552"/>
      <c r="Z6" s="2552"/>
      <c r="AA6" s="2552"/>
      <c r="AB6" s="2553"/>
      <c r="AC6" s="2551"/>
      <c r="AD6" s="2552"/>
      <c r="AE6" s="2552"/>
      <c r="AF6" s="2552"/>
      <c r="AG6" s="2552"/>
      <c r="AH6" s="2552"/>
      <c r="AI6" s="2552"/>
      <c r="AJ6" s="2553"/>
      <c r="AK6" s="1223" t="s">
        <v>484</v>
      </c>
      <c r="AM6" s="436"/>
      <c r="AN6" s="436" t="str">
        <f t="shared" si="0"/>
        <v>Группа потребителей</v>
      </c>
      <c r="AO6" s="436"/>
      <c r="AP6" s="436"/>
      <c r="AQ6" s="1071">
        <v>0</v>
      </c>
    </row>
    <row r="7" spans="1:43" ht="23.25" hidden="1" customHeight="1">
      <c r="A7" s="1279"/>
      <c r="B7" s="1279"/>
      <c r="C7" s="1279"/>
      <c r="D7" s="1279"/>
      <c r="E7" s="2564"/>
      <c r="F7" s="2564"/>
      <c r="G7" s="2564"/>
      <c r="H7" s="2564"/>
      <c r="I7" s="2566"/>
      <c r="J7" s="2566"/>
      <c r="K7" s="2565" t="e">
        <f>J6&amp;".1"</f>
        <v>#N/A</v>
      </c>
      <c r="L7" s="1280"/>
      <c r="P7" s="2567"/>
      <c r="Q7" s="2567"/>
      <c r="R7" s="293">
        <v>1</v>
      </c>
      <c r="S7" s="1373" t="e">
        <f>$K7</f>
        <v>#N/A</v>
      </c>
      <c r="T7" s="1353"/>
      <c r="U7" s="237"/>
      <c r="V7" s="687"/>
      <c r="W7" s="687"/>
      <c r="X7" s="1173"/>
      <c r="Y7" s="2568"/>
      <c r="Z7" s="2445" t="s">
        <v>62</v>
      </c>
      <c r="AA7" s="2568"/>
      <c r="AB7" s="2445" t="s">
        <v>62</v>
      </c>
      <c r="AC7" s="687"/>
      <c r="AD7" s="687"/>
      <c r="AE7" s="1173"/>
      <c r="AF7" s="2568"/>
      <c r="AG7" s="2445" t="s">
        <v>62</v>
      </c>
      <c r="AH7" s="2570"/>
      <c r="AI7" s="2445" t="s">
        <v>62</v>
      </c>
      <c r="AJ7" s="1354"/>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564"/>
      <c r="F8" s="2564"/>
      <c r="G8" s="2564"/>
      <c r="H8" s="2564"/>
      <c r="I8" s="2566"/>
      <c r="J8" s="2566"/>
      <c r="K8" s="2565"/>
      <c r="L8" s="1280"/>
      <c r="P8" s="2567"/>
      <c r="Q8" s="2567"/>
      <c r="R8" s="293"/>
      <c r="S8" s="1372"/>
      <c r="T8" s="237"/>
      <c r="U8" s="237"/>
      <c r="V8" s="262"/>
      <c r="W8" s="262"/>
      <c r="X8" s="265" t="str">
        <f>Y7&amp;"-"&amp;AA7</f>
        <v>-</v>
      </c>
      <c r="Y8" s="2569"/>
      <c r="Z8" s="2445"/>
      <c r="AA8" s="2569"/>
      <c r="AB8" s="2445"/>
      <c r="AC8" s="262"/>
      <c r="AD8" s="262"/>
      <c r="AE8" s="265" t="str">
        <f>AF7&amp;"-"&amp;AH7</f>
        <v>-</v>
      </c>
      <c r="AF8" s="2569"/>
      <c r="AG8" s="2445"/>
      <c r="AH8" s="2571"/>
      <c r="AI8" s="2445"/>
      <c r="AJ8" s="1355"/>
      <c r="AK8" s="2637"/>
      <c r="AM8" s="436"/>
      <c r="AN8" s="436" t="str">
        <f t="shared" si="0"/>
        <v/>
      </c>
      <c r="AO8" s="436"/>
      <c r="AP8" s="436"/>
      <c r="AQ8" s="1071">
        <v>0</v>
      </c>
    </row>
    <row r="9" spans="1:43" ht="21" hidden="1" customHeight="1">
      <c r="A9" s="1279"/>
      <c r="B9" s="1279"/>
      <c r="C9" s="1279"/>
      <c r="D9" s="1279"/>
      <c r="E9" s="2564"/>
      <c r="F9" s="2564"/>
      <c r="G9" s="2564"/>
      <c r="H9" s="2564"/>
      <c r="I9" s="2566"/>
      <c r="J9" s="2565"/>
      <c r="K9" s="1279"/>
      <c r="L9" s="1280"/>
      <c r="P9" s="2567"/>
      <c r="Q9" s="2567"/>
      <c r="R9" s="292"/>
      <c r="S9" s="1194"/>
      <c r="T9" s="224" t="s">
        <v>485</v>
      </c>
      <c r="U9" s="303"/>
      <c r="V9" s="303"/>
      <c r="W9" s="303"/>
      <c r="X9" s="303"/>
      <c r="Y9" s="303"/>
      <c r="Z9" s="303"/>
      <c r="AA9" s="303"/>
      <c r="AB9" s="303"/>
      <c r="AC9" s="303"/>
      <c r="AD9" s="303"/>
      <c r="AE9" s="303"/>
      <c r="AF9" s="303"/>
      <c r="AG9" s="303"/>
      <c r="AH9" s="303"/>
      <c r="AI9" s="303"/>
      <c r="AJ9" s="303"/>
      <c r="AK9" s="1174" t="s">
        <v>486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564"/>
      <c r="F10" s="2564"/>
      <c r="G10" s="2564"/>
      <c r="H10" s="2564"/>
      <c r="I10" s="2565"/>
      <c r="J10" s="1279"/>
      <c r="K10" s="1279"/>
      <c r="L10" s="1280"/>
      <c r="P10" s="2567"/>
      <c r="Q10" s="1366"/>
      <c r="R10" s="292"/>
      <c r="S10" s="1194"/>
      <c r="T10" s="301" t="s">
        <v>411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564"/>
      <c r="F11" s="2564"/>
      <c r="G11" s="2564"/>
      <c r="H11" s="2563"/>
      <c r="I11" s="1279"/>
      <c r="J11" s="1279"/>
      <c r="K11" s="1279"/>
      <c r="L11" s="1280"/>
      <c r="M11" s="1281"/>
      <c r="N11" s="1281"/>
      <c r="O11" s="473"/>
      <c r="P11" s="296"/>
      <c r="Q11" s="311"/>
      <c r="R11" s="291"/>
      <c r="S11" s="119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344" customFormat="1" ht="14.25" hidden="1" customHeight="1">
      <c r="A12" s="1259"/>
      <c r="B12" s="1259"/>
      <c r="C12" s="1230"/>
      <c r="D12" s="1230"/>
      <c r="E12" s="2564"/>
      <c r="F12" s="2563"/>
      <c r="G12" s="1230"/>
      <c r="H12" s="1230"/>
      <c r="I12" s="1230"/>
      <c r="J12" s="1230"/>
      <c r="K12" s="1230"/>
      <c r="L12" s="1374"/>
      <c r="M12" s="1237"/>
      <c r="N12" s="1237"/>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344" customFormat="1" ht="14.25" hidden="1" customHeight="1">
      <c r="A13" s="1259"/>
      <c r="B13" s="1259"/>
      <c r="C13" s="1259"/>
      <c r="D13" s="1259"/>
      <c r="E13" s="2563"/>
      <c r="F13" s="1259"/>
      <c r="G13" s="1259"/>
      <c r="H13" s="1259"/>
      <c r="I13" s="1259"/>
      <c r="J13" s="1259"/>
      <c r="K13" s="1259"/>
      <c r="L13" s="1262"/>
      <c r="M13" s="1237"/>
      <c r="N13" s="1237"/>
      <c r="O13" s="454"/>
      <c r="P13" s="316"/>
      <c r="Q13" s="1260"/>
      <c r="R13" s="316"/>
      <c r="S13" s="1238"/>
      <c r="T13" s="1241" t="s">
        <v>415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61"/>
      <c r="AG15" s="2560" t="s">
        <v>62</v>
      </c>
      <c r="AH15" s="2561"/>
      <c r="AI15" s="2560" t="s">
        <v>62</v>
      </c>
      <c r="AQ15" s="1071">
        <v>0</v>
      </c>
    </row>
    <row r="16" spans="1:43" ht="14.25" hidden="1" customHeight="1">
      <c r="AC16" s="1276"/>
      <c r="AD16" s="1276"/>
      <c r="AE16" s="265" t="str">
        <f>AF15&amp;"-"&amp;AH15</f>
        <v>-</v>
      </c>
      <c r="AF16" s="2560"/>
      <c r="AG16" s="2560"/>
      <c r="AH16" s="2560"/>
      <c r="AI16" s="2560"/>
      <c r="AQ16" s="1071">
        <v>0</v>
      </c>
    </row>
    <row r="17" spans="1:43" ht="14.25" hidden="1" customHeight="1">
      <c r="AI17" s="264"/>
      <c r="AQ17" s="1071">
        <v>0</v>
      </c>
    </row>
    <row r="18" spans="1:43" s="2357" customFormat="1" ht="22.5" hidden="1" customHeight="1">
      <c r="L18" s="1363"/>
      <c r="M18" s="1278"/>
      <c r="N18" s="1278"/>
      <c r="O18" s="1283" t="s">
        <v>416</v>
      </c>
      <c r="P18" s="1278"/>
      <c r="Q18" s="1287"/>
      <c r="R18" s="1287"/>
      <c r="S18" s="665"/>
      <c r="Y18" s="1283"/>
      <c r="AA18" s="1283"/>
      <c r="AB18" s="1282"/>
      <c r="AF18" s="1283"/>
      <c r="AH18" s="1283"/>
      <c r="AI18" s="1282"/>
      <c r="AL18" s="447"/>
      <c r="AM18" s="447"/>
      <c r="AN18" s="447"/>
      <c r="AO18" s="447"/>
      <c r="AP18" s="447"/>
      <c r="AQ18" s="1076">
        <v>0</v>
      </c>
    </row>
    <row r="19" spans="1:43" s="2357"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357" customFormat="1" ht="12" hidden="1" customHeight="1">
      <c r="L20" s="1363"/>
      <c r="M20" s="1278"/>
      <c r="N20" s="1278"/>
      <c r="O20" s="1280" t="s">
        <v>417</v>
      </c>
      <c r="P20" s="1278"/>
      <c r="Q20" s="1358"/>
      <c r="R20" s="1358"/>
      <c r="S20" s="665"/>
      <c r="T20" s="1076" t="s">
        <v>418</v>
      </c>
      <c r="Z20" s="123" t="s">
        <v>419</v>
      </c>
      <c r="AB20" s="123" t="s">
        <v>420</v>
      </c>
      <c r="AC20" s="1076" t="s">
        <v>418</v>
      </c>
      <c r="AG20" s="123" t="s">
        <v>421</v>
      </c>
      <c r="AI20" s="123" t="s">
        <v>420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9"/>
      <c r="AQ24" s="1071">
        <v>14</v>
      </c>
    </row>
    <row r="25" spans="1:43" ht="14.65" customHeight="1">
      <c r="Q25" s="312"/>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380" customFormat="1" ht="25.5" hidden="1" customHeight="1">
      <c r="A27" s="1284"/>
      <c r="B27" s="1284"/>
      <c r="C27" s="1284"/>
      <c r="D27" s="1284"/>
      <c r="E27" s="1284"/>
      <c r="F27" s="1284"/>
      <c r="G27" s="1284"/>
      <c r="H27" s="1284"/>
      <c r="I27" s="1284"/>
      <c r="J27" s="1284"/>
      <c r="K27" s="1284"/>
      <c r="L27" s="1285"/>
      <c r="M27" s="1284"/>
      <c r="N27" s="1284"/>
      <c r="O27" s="1284"/>
      <c r="S27" s="2554" t="s">
        <v>41</v>
      </c>
      <c r="T27" s="2554"/>
      <c r="U27" s="1288"/>
      <c r="V27" s="2556" t="str">
        <f>IF(TITLE_NAME_OR_PR_CHANGE="",IF(TITLE_NAME_OR_PR="","",TITLE_NAME_OR_PR),TITLE_NAME_OR_PR_CHANGE)</f>
        <v/>
      </c>
      <c r="W27" s="2556"/>
      <c r="X27" s="2556"/>
      <c r="Y27" s="2556"/>
      <c r="Z27" s="2556"/>
      <c r="AA27" s="2556"/>
      <c r="AB27" s="263"/>
      <c r="AC27" s="2556" t="str">
        <f>IF(TITLE_NAME_OR_PR_CHANGE="",IF(TITLE_NAME_OR_PR="","",TITLE_NAME_OR_PR),TITLE_NAME_OR_PR_CHANGE)</f>
        <v/>
      </c>
      <c r="AD27" s="2556"/>
      <c r="AE27" s="2556"/>
      <c r="AF27" s="2556"/>
      <c r="AG27" s="2556"/>
      <c r="AH27" s="2556"/>
      <c r="AI27" s="263"/>
      <c r="AJ27" s="263"/>
      <c r="AK27" s="217"/>
      <c r="AL27" s="304"/>
      <c r="AM27" s="304"/>
      <c r="AN27" s="304"/>
      <c r="AO27" s="304"/>
      <c r="AP27" s="304"/>
      <c r="AQ27" s="354">
        <v>0</v>
      </c>
    </row>
    <row r="28" spans="1:43" s="2380" customFormat="1" ht="18.75" hidden="1" customHeight="1">
      <c r="A28" s="1284"/>
      <c r="B28" s="1284"/>
      <c r="C28" s="1284"/>
      <c r="D28" s="1284"/>
      <c r="E28" s="1284"/>
      <c r="F28" s="1284"/>
      <c r="G28" s="1284"/>
      <c r="H28" s="1284"/>
      <c r="I28" s="1284"/>
      <c r="J28" s="1284"/>
      <c r="K28" s="1284"/>
      <c r="L28" s="1285"/>
      <c r="M28" s="1284"/>
      <c r="N28" s="1284"/>
      <c r="O28" s="1284"/>
      <c r="S28" s="2554" t="s">
        <v>422</v>
      </c>
      <c r="T28" s="2554"/>
      <c r="U28" s="1288"/>
      <c r="V28" s="2555" t="str">
        <f>IF(TITLE_DATE_PR_CHANGE="",IF(TITLE_DATE_PR="","",TITLE_DATE_PR),TITLE_DATE_PR_CHANGE)</f>
        <v/>
      </c>
      <c r="W28" s="2555"/>
      <c r="X28" s="2555"/>
      <c r="Y28" s="2555"/>
      <c r="Z28" s="2555"/>
      <c r="AA28" s="2555"/>
      <c r="AB28" s="263"/>
      <c r="AC28" s="2555" t="str">
        <f>IF(TITLE_DATE_PR_CHANGE="",IF(TITLE_DATE_PR="","",TITLE_DATE_PR),TITLE_DATE_PR_CHANGE)</f>
        <v/>
      </c>
      <c r="AD28" s="2555"/>
      <c r="AE28" s="2555"/>
      <c r="AF28" s="2555"/>
      <c r="AG28" s="2555"/>
      <c r="AH28" s="2555"/>
      <c r="AI28" s="263"/>
      <c r="AJ28" s="263"/>
      <c r="AK28" s="217"/>
      <c r="AL28" s="304"/>
      <c r="AM28" s="304"/>
      <c r="AN28" s="304"/>
      <c r="AO28" s="304"/>
      <c r="AP28" s="304"/>
      <c r="AQ28" s="354">
        <v>0</v>
      </c>
    </row>
    <row r="29" spans="1:43" s="2380" customFormat="1" ht="18.75" hidden="1" customHeight="1">
      <c r="A29" s="1284"/>
      <c r="B29" s="1284"/>
      <c r="C29" s="1284"/>
      <c r="D29" s="1284"/>
      <c r="E29" s="1284"/>
      <c r="F29" s="1284"/>
      <c r="G29" s="1284"/>
      <c r="H29" s="1284"/>
      <c r="I29" s="1284"/>
      <c r="J29" s="1284"/>
      <c r="K29" s="1284"/>
      <c r="L29" s="1285"/>
      <c r="M29" s="1284"/>
      <c r="N29" s="1284"/>
      <c r="O29" s="1284"/>
      <c r="S29" s="2554" t="s">
        <v>423</v>
      </c>
      <c r="T29" s="2554"/>
      <c r="U29" s="1288"/>
      <c r="V29" s="2556" t="str">
        <f>IF(TITLE_NUMBER_PR_CHANGE="",IF(TITLE_NUMBER_PR="","",TITLE_NUMBER_PR),TITLE_NUMBER_PR_CHANGE)</f>
        <v/>
      </c>
      <c r="W29" s="2556"/>
      <c r="X29" s="2556"/>
      <c r="Y29" s="2556"/>
      <c r="Z29" s="2556"/>
      <c r="AA29" s="2556"/>
      <c r="AB29" s="263"/>
      <c r="AC29" s="2556" t="str">
        <f>IF(TITLE_NUMBER_PR_CHANGE="",IF(TITLE_NUMBER_PR="","",TITLE_NUMBER_PR),TITLE_NUMBER_PR_CHANGE)</f>
        <v/>
      </c>
      <c r="AD29" s="2556"/>
      <c r="AE29" s="2556"/>
      <c r="AF29" s="2556"/>
      <c r="AG29" s="2556"/>
      <c r="AH29" s="2556"/>
      <c r="AI29" s="263"/>
      <c r="AJ29" s="263"/>
      <c r="AK29" s="217"/>
      <c r="AL29" s="304"/>
      <c r="AM29" s="304"/>
      <c r="AN29" s="304"/>
      <c r="AO29" s="304"/>
      <c r="AP29" s="304"/>
      <c r="AQ29" s="354">
        <v>0</v>
      </c>
    </row>
    <row r="30" spans="1:43" s="2380" customFormat="1" ht="18.75" hidden="1" customHeight="1">
      <c r="A30" s="1284"/>
      <c r="B30" s="1284"/>
      <c r="C30" s="1284"/>
      <c r="D30" s="1284"/>
      <c r="E30" s="1284"/>
      <c r="F30" s="1284"/>
      <c r="G30" s="1284"/>
      <c r="H30" s="1284"/>
      <c r="I30" s="1284"/>
      <c r="J30" s="1284"/>
      <c r="K30" s="1284"/>
      <c r="L30" s="1285"/>
      <c r="M30" s="1284"/>
      <c r="N30" s="1284"/>
      <c r="O30" s="1284"/>
      <c r="S30" s="2554" t="s">
        <v>42</v>
      </c>
      <c r="T30" s="2554"/>
      <c r="U30" s="1288"/>
      <c r="V30" s="2556" t="str">
        <f>IF(TITLE_IST_PUB_CHANGE="",IF(TITLE_IST_PUB="","",TITLE_IST_PUB),TITLE_IST_PUB_CHANGE)</f>
        <v/>
      </c>
      <c r="W30" s="2556"/>
      <c r="X30" s="2556"/>
      <c r="Y30" s="2556"/>
      <c r="Z30" s="2556"/>
      <c r="AA30" s="2556"/>
      <c r="AB30" s="263"/>
      <c r="AC30" s="2556" t="str">
        <f>IF(TITLE_IST_PUB_CHANGE="",IF(TITLE_IST_PUB="","",TITLE_IST_PUB),TITLE_IST_PUB_CHANGE)</f>
        <v/>
      </c>
      <c r="AD30" s="2556"/>
      <c r="AE30" s="2556"/>
      <c r="AF30" s="2556"/>
      <c r="AG30" s="2556"/>
      <c r="AH30" s="2556"/>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380" customFormat="1" ht="18.75" hidden="1" customHeight="1">
      <c r="A32" s="1284"/>
      <c r="B32" s="1284"/>
      <c r="C32" s="1284"/>
      <c r="D32" s="1284"/>
      <c r="E32" s="1284"/>
      <c r="F32" s="1284"/>
      <c r="G32" s="1284"/>
      <c r="H32" s="1284"/>
      <c r="I32" s="1284"/>
      <c r="J32" s="1284"/>
      <c r="K32" s="1284"/>
      <c r="L32" s="1285"/>
      <c r="M32" s="1284"/>
      <c r="N32" s="1284"/>
      <c r="O32" s="1284"/>
      <c r="S32" s="2554" t="s">
        <v>424</v>
      </c>
      <c r="T32" s="2554"/>
      <c r="U32" s="1288"/>
      <c r="V32" s="2555" t="str">
        <f>IF(TITLE_DATE_PR_CHANGE="",IF(TITLE_DATE_PR="","",TITLE_DATE_PR),TITLE_DATE_PR_CHANGE)</f>
        <v/>
      </c>
      <c r="W32" s="2555"/>
      <c r="X32" s="2555"/>
      <c r="Y32" s="2555"/>
      <c r="Z32" s="2555"/>
      <c r="AA32" s="2555"/>
      <c r="AB32" s="263"/>
      <c r="AC32" s="2555" t="str">
        <f>IF(TITLE_DATE_PR_CHANGE="",IF(TITLE_DATE_PR="","",TITLE_DATE_PR),TITLE_DATE_PR_CHANGE)</f>
        <v/>
      </c>
      <c r="AD32" s="2555"/>
      <c r="AE32" s="2555"/>
      <c r="AF32" s="2555"/>
      <c r="AG32" s="2555"/>
      <c r="AH32" s="2555"/>
      <c r="AI32" s="263"/>
      <c r="AJ32" s="263"/>
      <c r="AK32" s="217"/>
      <c r="AL32" s="304"/>
      <c r="AM32" s="304"/>
      <c r="AN32" s="304"/>
      <c r="AO32" s="304"/>
      <c r="AP32" s="304"/>
      <c r="AQ32" s="354">
        <v>0</v>
      </c>
    </row>
    <row r="33" spans="1:43" s="2380" customFormat="1" ht="18.75" hidden="1" customHeight="1">
      <c r="A33" s="1284"/>
      <c r="B33" s="1284"/>
      <c r="C33" s="1284"/>
      <c r="D33" s="1284"/>
      <c r="E33" s="1284"/>
      <c r="F33" s="1284"/>
      <c r="G33" s="1284"/>
      <c r="H33" s="1284"/>
      <c r="I33" s="1284"/>
      <c r="J33" s="1284"/>
      <c r="K33" s="1284"/>
      <c r="L33" s="1285"/>
      <c r="M33" s="1284"/>
      <c r="N33" s="1284"/>
      <c r="O33" s="1284"/>
      <c r="S33" s="2554" t="s">
        <v>425</v>
      </c>
      <c r="T33" s="2554"/>
      <c r="U33" s="1288"/>
      <c r="V33" s="2556" t="str">
        <f>IF(TITLE_NUMBER_PR_CHANGE="",IF(TITLE_NUMBER_PR="","",TITLE_NUMBER_PR),TITLE_NUMBER_PR_CHANGE)</f>
        <v/>
      </c>
      <c r="W33" s="2556"/>
      <c r="X33" s="2556"/>
      <c r="Y33" s="2556"/>
      <c r="Z33" s="2556"/>
      <c r="AA33" s="2556"/>
      <c r="AB33" s="263"/>
      <c r="AC33" s="2556" t="str">
        <f>IF(TITLE_NUMBER_PR_CHANGE="",IF(TITLE_NUMBER_PR="","",TITLE_NUMBER_PR),TITLE_NUMBER_PR_CHANGE)</f>
        <v/>
      </c>
      <c r="AD33" s="2556"/>
      <c r="AE33" s="2556"/>
      <c r="AF33" s="2556"/>
      <c r="AG33" s="2556"/>
      <c r="AH33" s="2556"/>
      <c r="AI33" s="263"/>
      <c r="AJ33" s="263"/>
      <c r="AK33" s="217"/>
      <c r="AL33" s="304"/>
      <c r="AM33" s="304"/>
      <c r="AN33" s="304"/>
      <c r="AO33" s="304"/>
      <c r="AP33" s="304"/>
      <c r="AQ33" s="354">
        <v>0</v>
      </c>
    </row>
    <row r="34" spans="1:43" s="2380"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1"/>
      <c r="T35" s="299"/>
      <c r="U35" s="1160"/>
      <c r="V35" s="2575"/>
      <c r="W35" s="2575"/>
      <c r="X35" s="2575"/>
      <c r="Y35" s="2575"/>
      <c r="Z35" s="2575"/>
      <c r="AA35" s="2575"/>
      <c r="AB35" s="2575"/>
      <c r="AC35" s="2575"/>
      <c r="AD35" s="2575"/>
      <c r="AE35" s="2575"/>
      <c r="AF35" s="2575"/>
      <c r="AG35" s="2575"/>
      <c r="AH35" s="2575"/>
      <c r="AI35" s="2575"/>
      <c r="AQ35" s="1071">
        <v>14</v>
      </c>
    </row>
    <row r="36" spans="1:43" ht="14.65" customHeight="1">
      <c r="Q36" s="312"/>
      <c r="R36" s="312"/>
      <c r="S36" s="2435" t="s">
        <v>299</v>
      </c>
      <c r="T36" s="2435"/>
      <c r="U36" s="2435"/>
      <c r="V36" s="2435"/>
      <c r="W36" s="2435"/>
      <c r="X36" s="2435"/>
      <c r="Y36" s="2435"/>
      <c r="Z36" s="2435"/>
      <c r="AA36" s="2435"/>
      <c r="AB36" s="2435"/>
      <c r="AC36" s="2435"/>
      <c r="AD36" s="2435"/>
      <c r="AE36" s="2435"/>
      <c r="AF36" s="2435"/>
      <c r="AG36" s="2435"/>
      <c r="AH36" s="2435"/>
      <c r="AI36" s="2435"/>
      <c r="AJ36" s="2435"/>
      <c r="AK36" s="2435" t="s">
        <v>300</v>
      </c>
      <c r="AQ36" s="1071">
        <v>14</v>
      </c>
    </row>
    <row r="37" spans="1:43" ht="14.65" customHeight="1">
      <c r="Q37" s="312"/>
      <c r="R37" s="312"/>
      <c r="S37" s="2576" t="s">
        <v>88</v>
      </c>
      <c r="T37" s="2524" t="s">
        <v>427</v>
      </c>
      <c r="U37" s="238"/>
      <c r="V37" s="2577" t="s">
        <v>428</v>
      </c>
      <c r="W37" s="2578"/>
      <c r="X37" s="2578"/>
      <c r="Y37" s="2578"/>
      <c r="Z37" s="2578"/>
      <c r="AA37" s="2579"/>
      <c r="AB37" s="2580" t="s">
        <v>429</v>
      </c>
      <c r="AC37" s="2577" t="s">
        <v>428</v>
      </c>
      <c r="AD37" s="2578"/>
      <c r="AE37" s="2578"/>
      <c r="AF37" s="2578"/>
      <c r="AG37" s="2578"/>
      <c r="AH37" s="2579"/>
      <c r="AI37" s="2580" t="s">
        <v>430</v>
      </c>
      <c r="AJ37" s="2583" t="s">
        <v>431</v>
      </c>
      <c r="AK37" s="2435"/>
      <c r="AQ37" s="1071">
        <v>14</v>
      </c>
    </row>
    <row r="38" spans="1:43" ht="35.65" customHeight="1">
      <c r="Q38" s="312"/>
      <c r="R38" s="312"/>
      <c r="S38" s="2576"/>
      <c r="T38" s="2524"/>
      <c r="U38" s="953"/>
      <c r="V38" s="1368" t="s">
        <v>488</v>
      </c>
      <c r="W38" s="2417" t="s">
        <v>434</v>
      </c>
      <c r="X38" s="2416"/>
      <c r="Y38" s="2417" t="s">
        <v>435</v>
      </c>
      <c r="Z38" s="2422"/>
      <c r="AA38" s="2416"/>
      <c r="AB38" s="2581"/>
      <c r="AC38" s="1368" t="s">
        <v>488</v>
      </c>
      <c r="AD38" s="2417" t="s">
        <v>434</v>
      </c>
      <c r="AE38" s="2416"/>
      <c r="AF38" s="2417" t="s">
        <v>435</v>
      </c>
      <c r="AG38" s="2422"/>
      <c r="AH38" s="2416"/>
      <c r="AI38" s="2581"/>
      <c r="AJ38" s="2584"/>
      <c r="AK38" s="2435"/>
      <c r="AQ38" s="1071">
        <v>34</v>
      </c>
    </row>
    <row r="39" spans="1:43" ht="35.65" customHeight="1">
      <c r="A39" s="1286"/>
      <c r="B39" s="1286" t="s">
        <v>136</v>
      </c>
      <c r="C39" s="1286" t="s">
        <v>137</v>
      </c>
      <c r="D39" s="1286" t="s">
        <v>138</v>
      </c>
      <c r="E39" s="1280" t="s">
        <v>436</v>
      </c>
      <c r="F39" s="1280" t="s">
        <v>437</v>
      </c>
      <c r="G39" s="1280" t="s">
        <v>438</v>
      </c>
      <c r="H39" s="1280"/>
      <c r="I39" s="1280" t="s">
        <v>489</v>
      </c>
      <c r="J39" s="1280" t="s">
        <v>441</v>
      </c>
      <c r="K39" s="1280" t="s">
        <v>490</v>
      </c>
      <c r="L39" s="1280" t="s">
        <v>417</v>
      </c>
      <c r="Q39" s="312"/>
      <c r="R39" s="312"/>
      <c r="S39" s="2576"/>
      <c r="T39" s="2524"/>
      <c r="U39" s="239"/>
      <c r="V39" s="1368" t="s">
        <v>491</v>
      </c>
      <c r="W39" s="1138" t="s">
        <v>492</v>
      </c>
      <c r="X39" s="1138" t="s">
        <v>493</v>
      </c>
      <c r="Y39" s="1371" t="s">
        <v>445</v>
      </c>
      <c r="Z39" s="2529" t="s">
        <v>446</v>
      </c>
      <c r="AA39" s="2543"/>
      <c r="AB39" s="2582"/>
      <c r="AC39" s="1368" t="s">
        <v>491</v>
      </c>
      <c r="AD39" s="1138" t="s">
        <v>492</v>
      </c>
      <c r="AE39" s="1138" t="s">
        <v>493</v>
      </c>
      <c r="AF39" s="1371" t="s">
        <v>445</v>
      </c>
      <c r="AG39" s="2529" t="s">
        <v>446</v>
      </c>
      <c r="AH39" s="2543"/>
      <c r="AI39" s="2582"/>
      <c r="AJ39" s="2585"/>
      <c r="AK39" s="2435"/>
      <c r="AQ39" s="1071">
        <v>34</v>
      </c>
    </row>
    <row r="40" spans="1:43" s="2335"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109</v>
      </c>
      <c r="T40" s="1171" t="s">
        <v>110</v>
      </c>
      <c r="U40" s="1161" t="str">
        <f ca="1">OFFSET(U40,0,-1)</f>
        <v>2</v>
      </c>
      <c r="V40" s="1367">
        <f ca="1">OFFSET(V40,0,-1)+1</f>
        <v>3</v>
      </c>
      <c r="W40" s="1367">
        <f ca="1">OFFSET(W40,0,-1)+1</f>
        <v>4</v>
      </c>
      <c r="X40" s="1367">
        <f ca="1">OFFSET(X40,0,-1)+1</f>
        <v>5</v>
      </c>
      <c r="Y40" s="1367">
        <f ca="1">OFFSET(Y40,0,-1)+1</f>
        <v>6</v>
      </c>
      <c r="Z40" s="2574">
        <f ca="1">OFFSET(Z40,0,-1)+1</f>
        <v>7</v>
      </c>
      <c r="AA40" s="2574"/>
      <c r="AB40" s="1367">
        <f ca="1">OFFSET(AB40,0,-2)+1</f>
        <v>8</v>
      </c>
      <c r="AC40" s="1367">
        <f ca="1">OFFSET(AC40,0,-1)+1</f>
        <v>9</v>
      </c>
      <c r="AD40" s="1367">
        <f ca="1">OFFSET(AD40,0,-1)+1</f>
        <v>10</v>
      </c>
      <c r="AE40" s="1367">
        <f ca="1">OFFSET(AE40,0,-1)+1</f>
        <v>11</v>
      </c>
      <c r="AF40" s="1367">
        <f ca="1">OFFSET(AF40,0,-1)+1</f>
        <v>12</v>
      </c>
      <c r="AG40" s="2574">
        <f ca="1">OFFSET(AG40,0,-1)+1</f>
        <v>13</v>
      </c>
      <c r="AH40" s="2574"/>
      <c r="AI40" s="1367">
        <f ca="1">OFFSET(AI40,0,-2)+1</f>
        <v>14</v>
      </c>
      <c r="AJ40" s="1161">
        <f ca="1">OFFSET(AJ40,0,-1)</f>
        <v>14</v>
      </c>
      <c r="AK40" s="1367">
        <f ca="1">OFFSET(AK40,0,-1)+1</f>
        <v>15</v>
      </c>
      <c r="AL40" s="447"/>
      <c r="AM40" s="447"/>
      <c r="AN40" s="447"/>
      <c r="AO40" s="447"/>
      <c r="AP40" s="447"/>
      <c r="AQ40" s="432">
        <v>0</v>
      </c>
    </row>
    <row r="41" spans="1:43" ht="24" customHeight="1">
      <c r="A41" s="1279" t="s">
        <v>235</v>
      </c>
      <c r="B41" s="1279"/>
      <c r="C41" s="1279"/>
      <c r="D41" s="1279"/>
      <c r="E41" s="2563">
        <v>1</v>
      </c>
      <c r="F41" s="1279"/>
      <c r="G41" s="1279"/>
      <c r="H41" s="1279"/>
      <c r="I41" s="1279"/>
      <c r="J41" s="1279"/>
      <c r="K41" s="1279"/>
      <c r="L41" s="1280"/>
      <c r="M41" s="1281"/>
      <c r="N41" s="1281"/>
      <c r="O41" s="1281"/>
      <c r="P41" s="297"/>
      <c r="Q41" s="296"/>
      <c r="R41" s="291"/>
      <c r="S41" s="1373">
        <f>INDEX(PT_DIFFERENTIATION_NUM_NTAR,MATCH(A41,PT_DIFFERENTIATION_NTAR_ID,0))</f>
        <v>0</v>
      </c>
      <c r="T41" s="235" t="s">
        <v>124</v>
      </c>
      <c r="U41" s="237"/>
      <c r="V41" s="2557"/>
      <c r="W41" s="2558"/>
      <c r="X41" s="2558"/>
      <c r="Y41" s="2558"/>
      <c r="Z41" s="2558"/>
      <c r="AA41" s="2558"/>
      <c r="AB41" s="2559"/>
      <c r="AC41" s="2557" t="str">
        <f>INDEX(PT_DIFFERENTIATION_NTAR,MATCH(A41,PT_DIFFERENTIATION_NTAR_ID,0))</f>
        <v/>
      </c>
      <c r="AD41" s="2558"/>
      <c r="AE41" s="2558"/>
      <c r="AF41" s="2558"/>
      <c r="AG41" s="2558"/>
      <c r="AH41" s="2558"/>
      <c r="AI41" s="2558"/>
      <c r="AJ41" s="255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235</v>
      </c>
      <c r="B42" s="1279" t="s">
        <v>236</v>
      </c>
      <c r="C42" s="1279"/>
      <c r="D42" s="1279"/>
      <c r="E42" s="2564"/>
      <c r="F42" s="2563">
        <v>1</v>
      </c>
      <c r="G42" s="1279"/>
      <c r="H42" s="1279"/>
      <c r="I42" s="1279"/>
      <c r="J42" s="1279"/>
      <c r="K42" s="1279"/>
      <c r="L42" s="1280"/>
      <c r="M42" s="1281"/>
      <c r="N42" s="1281"/>
      <c r="O42" s="1281"/>
      <c r="P42" s="1369"/>
      <c r="Q42" s="288"/>
      <c r="R42" s="289"/>
      <c r="S42" s="1373" t="str">
        <f>INDEX(PT_DIFFERENTIATION_NUM_TER,MATCH(B42,PT_DIFFERENTIATION_TER_ID,0))</f>
        <v>.</v>
      </c>
      <c r="T42" s="245" t="s">
        <v>396</v>
      </c>
      <c r="U42" s="237"/>
      <c r="V42" s="2557"/>
      <c r="W42" s="2558"/>
      <c r="X42" s="2558"/>
      <c r="Y42" s="2558"/>
      <c r="Z42" s="2558"/>
      <c r="AA42" s="2558"/>
      <c r="AB42" s="2559"/>
      <c r="AC42" s="2557" t="str">
        <f>INDEX(PT_DIFFERENTIATION_TER,MATCH(B42,PT_DIFFERENTIATION_TER_ID,0))</f>
        <v/>
      </c>
      <c r="AD42" s="2558"/>
      <c r="AE42" s="2558"/>
      <c r="AF42" s="2558"/>
      <c r="AG42" s="2558"/>
      <c r="AH42" s="2558"/>
      <c r="AI42" s="2558"/>
      <c r="AJ42" s="2559"/>
      <c r="AK42" s="1174" t="s">
        <v>397</v>
      </c>
      <c r="AM42" s="436"/>
      <c r="AN42" s="436" t="str">
        <f t="shared" si="1"/>
        <v>Территория действия тарифа</v>
      </c>
      <c r="AO42" s="436"/>
      <c r="AP42" s="436"/>
      <c r="AQ42" s="1071">
        <v>23</v>
      </c>
    </row>
    <row r="43" spans="1:43" ht="24" customHeight="1">
      <c r="A43" s="1279" t="s">
        <v>235</v>
      </c>
      <c r="B43" s="1279" t="s">
        <v>236</v>
      </c>
      <c r="C43" s="1279" t="s">
        <v>237</v>
      </c>
      <c r="D43" s="1279"/>
      <c r="E43" s="2564"/>
      <c r="F43" s="2564"/>
      <c r="G43" s="2563">
        <v>1</v>
      </c>
      <c r="H43" s="1279"/>
      <c r="I43" s="1279"/>
      <c r="J43" s="1279"/>
      <c r="K43" s="1279"/>
      <c r="L43" s="1280"/>
      <c r="M43" s="1281"/>
      <c r="N43" s="1281"/>
      <c r="O43" s="1281"/>
      <c r="P43" s="290"/>
      <c r="Q43" s="288"/>
      <c r="R43" s="289"/>
      <c r="S43" s="1373" t="str">
        <f>INDEX(PT_DIFFERENTIATION_NUM_CS,MATCH(C43,PT_DIFFERENTIATION_CS_ID,0))</f>
        <v>..</v>
      </c>
      <c r="T43" s="246" t="s">
        <v>480</v>
      </c>
      <c r="U43" s="237"/>
      <c r="V43" s="2557"/>
      <c r="W43" s="2558"/>
      <c r="X43" s="2558"/>
      <c r="Y43" s="2558"/>
      <c r="Z43" s="2558"/>
      <c r="AA43" s="2558"/>
      <c r="AB43" s="2559"/>
      <c r="AC43" s="2557" t="str">
        <f>INDEX(PT_DIFFERENTIATION_CS,MATCH(C43,PT_DIFFERENTIATION_CS_ID,0))</f>
        <v/>
      </c>
      <c r="AD43" s="2558"/>
      <c r="AE43" s="2558"/>
      <c r="AF43" s="2558"/>
      <c r="AG43" s="2558"/>
      <c r="AH43" s="2558"/>
      <c r="AI43" s="2558"/>
      <c r="AJ43" s="2559"/>
      <c r="AK43" s="1174" t="s">
        <v>481</v>
      </c>
      <c r="AM43" s="436"/>
      <c r="AN43" s="436" t="str">
        <f t="shared" si="1"/>
        <v>Наименование централизованной системы холодного водоснабжения</v>
      </c>
      <c r="AO43" s="436"/>
      <c r="AP43" s="436"/>
      <c r="AQ43" s="1071">
        <v>23</v>
      </c>
    </row>
    <row r="44" spans="1:43" ht="24" customHeight="1">
      <c r="A44" s="1279" t="s">
        <v>235</v>
      </c>
      <c r="B44" s="1279" t="s">
        <v>236</v>
      </c>
      <c r="C44" s="1279" t="s">
        <v>237</v>
      </c>
      <c r="D44" s="1279" t="s">
        <v>496</v>
      </c>
      <c r="E44" s="2564"/>
      <c r="F44" s="2564"/>
      <c r="G44" s="2564"/>
      <c r="H44" s="2564"/>
      <c r="I44" s="2565" t="str">
        <f>S43&amp;".1"</f>
        <v>...1</v>
      </c>
      <c r="J44" s="1279"/>
      <c r="K44" s="1279"/>
      <c r="L44" s="1280"/>
      <c r="P44" s="2567">
        <v>1</v>
      </c>
      <c r="Q44" s="1366"/>
      <c r="R44" s="292"/>
      <c r="S44" s="1373" t="str">
        <f>$I44</f>
        <v>...1</v>
      </c>
      <c r="T44" s="222" t="s">
        <v>482</v>
      </c>
      <c r="U44" s="237"/>
      <c r="V44" s="2631"/>
      <c r="W44" s="2632"/>
      <c r="X44" s="2632"/>
      <c r="Y44" s="2632"/>
      <c r="Z44" s="2632"/>
      <c r="AA44" s="2632"/>
      <c r="AB44" s="2633"/>
      <c r="AC44" s="2634"/>
      <c r="AD44" s="2635"/>
      <c r="AE44" s="2635"/>
      <c r="AF44" s="2635"/>
      <c r="AG44" s="2635"/>
      <c r="AH44" s="2635"/>
      <c r="AI44" s="2635"/>
      <c r="AJ44" s="2636"/>
      <c r="AK44" s="1174" t="s">
        <v>483</v>
      </c>
      <c r="AM44" s="436"/>
      <c r="AN44" s="436" t="str">
        <f t="shared" si="1"/>
        <v>Наименование признака дифференциации</v>
      </c>
      <c r="AO44" s="436"/>
      <c r="AP44" s="436"/>
      <c r="AQ44" s="1071">
        <v>23</v>
      </c>
    </row>
    <row r="45" spans="1:43" ht="24" customHeight="1">
      <c r="A45" s="1279" t="s">
        <v>235</v>
      </c>
      <c r="B45" s="1279" t="s">
        <v>236</v>
      </c>
      <c r="C45" s="1279" t="s">
        <v>237</v>
      </c>
      <c r="D45" s="1279" t="s">
        <v>496</v>
      </c>
      <c r="E45" s="2564"/>
      <c r="F45" s="2564"/>
      <c r="G45" s="2564"/>
      <c r="H45" s="2564"/>
      <c r="I45" s="2566"/>
      <c r="J45" s="2565" t="str">
        <f>I44&amp;".1"</f>
        <v>...1.1</v>
      </c>
      <c r="K45" s="1279"/>
      <c r="L45" s="1280" t="s">
        <v>405</v>
      </c>
      <c r="P45" s="2567"/>
      <c r="Q45" s="2567">
        <v>1</v>
      </c>
      <c r="R45" s="293"/>
      <c r="S45" s="1373" t="str">
        <f>$J45</f>
        <v>...1.1</v>
      </c>
      <c r="T45" s="223" t="s">
        <v>406</v>
      </c>
      <c r="U45" s="237"/>
      <c r="V45" s="2551"/>
      <c r="W45" s="2552"/>
      <c r="X45" s="2552"/>
      <c r="Y45" s="2552"/>
      <c r="Z45" s="2552"/>
      <c r="AA45" s="2552"/>
      <c r="AB45" s="2553"/>
      <c r="AC45" s="2551"/>
      <c r="AD45" s="2552"/>
      <c r="AE45" s="2552"/>
      <c r="AF45" s="2552"/>
      <c r="AG45" s="2552"/>
      <c r="AH45" s="2552"/>
      <c r="AI45" s="2552"/>
      <c r="AJ45" s="2553"/>
      <c r="AK45" s="1223" t="s">
        <v>484</v>
      </c>
      <c r="AM45" s="436"/>
      <c r="AN45" s="436" t="str">
        <f t="shared" si="1"/>
        <v>Группа потребителей</v>
      </c>
      <c r="AO45" s="436"/>
      <c r="AP45" s="436"/>
      <c r="AQ45" s="1071">
        <v>23</v>
      </c>
    </row>
    <row r="46" spans="1:43" ht="24" customHeight="1">
      <c r="A46" s="1279" t="s">
        <v>235</v>
      </c>
      <c r="B46" s="1279" t="s">
        <v>236</v>
      </c>
      <c r="C46" s="1279" t="s">
        <v>237</v>
      </c>
      <c r="D46" s="1279" t="s">
        <v>496</v>
      </c>
      <c r="E46" s="2564"/>
      <c r="F46" s="2564"/>
      <c r="G46" s="2564"/>
      <c r="H46" s="2564"/>
      <c r="I46" s="2566"/>
      <c r="J46" s="2566"/>
      <c r="K46" s="2565" t="str">
        <f>J45&amp;".1"</f>
        <v>...1.1.1</v>
      </c>
      <c r="L46" s="1280"/>
      <c r="P46" s="2567"/>
      <c r="Q46" s="2567"/>
      <c r="R46" s="293">
        <v>1</v>
      </c>
      <c r="S46" s="1373" t="str">
        <f>$K46</f>
        <v>...1.1.1</v>
      </c>
      <c r="T46" s="1353"/>
      <c r="U46" s="237"/>
      <c r="V46" s="687"/>
      <c r="W46" s="687"/>
      <c r="X46" s="1173"/>
      <c r="Y46" s="2568"/>
      <c r="Z46" s="2445" t="s">
        <v>62</v>
      </c>
      <c r="AA46" s="2568"/>
      <c r="AB46" s="2445" t="s">
        <v>62</v>
      </c>
      <c r="AC46" s="687"/>
      <c r="AD46" s="687"/>
      <c r="AE46" s="1173"/>
      <c r="AF46" s="2568"/>
      <c r="AG46" s="2445" t="s">
        <v>62</v>
      </c>
      <c r="AH46" s="2570"/>
      <c r="AI46" s="2445" t="s">
        <v>62</v>
      </c>
      <c r="AJ46" s="1354"/>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235</v>
      </c>
      <c r="B47" s="1279" t="s">
        <v>236</v>
      </c>
      <c r="C47" s="1279" t="s">
        <v>237</v>
      </c>
      <c r="D47" s="1279" t="s">
        <v>496</v>
      </c>
      <c r="E47" s="2564"/>
      <c r="F47" s="2564"/>
      <c r="G47" s="2564"/>
      <c r="H47" s="2564"/>
      <c r="I47" s="2566"/>
      <c r="J47" s="2566"/>
      <c r="K47" s="2565"/>
      <c r="L47" s="1280"/>
      <c r="P47" s="2567"/>
      <c r="Q47" s="2567"/>
      <c r="R47" s="293"/>
      <c r="S47" s="1372"/>
      <c r="T47" s="237"/>
      <c r="U47" s="237"/>
      <c r="V47" s="262"/>
      <c r="W47" s="262"/>
      <c r="X47" s="265" t="str">
        <f>Y46&amp;"-"&amp;AA46</f>
        <v>-</v>
      </c>
      <c r="Y47" s="2569"/>
      <c r="Z47" s="2445"/>
      <c r="AA47" s="2569"/>
      <c r="AB47" s="2445"/>
      <c r="AC47" s="262"/>
      <c r="AD47" s="262"/>
      <c r="AE47" s="265" t="str">
        <f>AF46&amp;"-"&amp;AH46</f>
        <v>-</v>
      </c>
      <c r="AF47" s="2569"/>
      <c r="AG47" s="2445"/>
      <c r="AH47" s="2571"/>
      <c r="AI47" s="2445"/>
      <c r="AJ47" s="1355"/>
      <c r="AK47" s="2637"/>
      <c r="AM47" s="436"/>
      <c r="AN47" s="436" t="str">
        <f t="shared" si="1"/>
        <v/>
      </c>
      <c r="AO47" s="436"/>
      <c r="AP47" s="436"/>
      <c r="AQ47" s="1071">
        <v>0</v>
      </c>
    </row>
    <row r="48" spans="1:43" ht="21" customHeight="1">
      <c r="A48" s="1279" t="s">
        <v>235</v>
      </c>
      <c r="B48" s="1279" t="s">
        <v>236</v>
      </c>
      <c r="C48" s="1279" t="s">
        <v>237</v>
      </c>
      <c r="D48" s="1279" t="s">
        <v>496</v>
      </c>
      <c r="E48" s="2564"/>
      <c r="F48" s="2564"/>
      <c r="G48" s="2564"/>
      <c r="H48" s="2564"/>
      <c r="I48" s="2566"/>
      <c r="J48" s="2565"/>
      <c r="K48" s="1279"/>
      <c r="L48" s="1280"/>
      <c r="P48" s="2567"/>
      <c r="Q48" s="2567"/>
      <c r="R48" s="292"/>
      <c r="S48" s="1194"/>
      <c r="T48" s="224" t="s">
        <v>485</v>
      </c>
      <c r="U48" s="303"/>
      <c r="V48" s="303"/>
      <c r="W48" s="303"/>
      <c r="X48" s="303"/>
      <c r="Y48" s="303"/>
      <c r="Z48" s="303"/>
      <c r="AA48" s="303"/>
      <c r="AB48" s="303"/>
      <c r="AC48" s="303"/>
      <c r="AD48" s="303"/>
      <c r="AE48" s="303"/>
      <c r="AF48" s="303"/>
      <c r="AG48" s="303"/>
      <c r="AH48" s="303"/>
      <c r="AI48" s="303"/>
      <c r="AJ48" s="303"/>
      <c r="AK48" s="1174" t="s">
        <v>486</v>
      </c>
      <c r="AM48" s="436"/>
      <c r="AN48" s="436" t="str">
        <f t="shared" si="1"/>
        <v>Добавить значение признака дифференциации</v>
      </c>
      <c r="AO48" s="436"/>
      <c r="AP48" s="436"/>
      <c r="AQ48" s="1071">
        <v>20</v>
      </c>
    </row>
    <row r="49" spans="1:43" ht="21.95" customHeight="1">
      <c r="A49" s="1279" t="s">
        <v>235</v>
      </c>
      <c r="B49" s="1279" t="s">
        <v>236</v>
      </c>
      <c r="C49" s="1279" t="s">
        <v>237</v>
      </c>
      <c r="D49" s="1279" t="s">
        <v>496</v>
      </c>
      <c r="E49" s="2564"/>
      <c r="F49" s="2564"/>
      <c r="G49" s="2564"/>
      <c r="H49" s="2564"/>
      <c r="I49" s="2565"/>
      <c r="J49" s="1279"/>
      <c r="K49" s="1279"/>
      <c r="L49" s="1280"/>
      <c r="P49" s="2567"/>
      <c r="Q49" s="1366"/>
      <c r="R49" s="292"/>
      <c r="S49" s="1194"/>
      <c r="T49" s="301" t="s">
        <v>411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235</v>
      </c>
      <c r="B50" s="1279" t="s">
        <v>236</v>
      </c>
      <c r="C50" s="1279" t="s">
        <v>237</v>
      </c>
      <c r="D50" s="1279" t="s">
        <v>496</v>
      </c>
      <c r="E50" s="2564"/>
      <c r="F50" s="2564"/>
      <c r="G50" s="2564"/>
      <c r="H50" s="2563"/>
      <c r="I50" s="1279"/>
      <c r="J50" s="1279"/>
      <c r="K50" s="1279"/>
      <c r="L50" s="1280"/>
      <c r="M50" s="1281"/>
      <c r="N50" s="1281"/>
      <c r="O50" s="473"/>
      <c r="P50" s="296"/>
      <c r="Q50" s="311"/>
      <c r="R50" s="291"/>
      <c r="S50" s="119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344" customFormat="1" ht="0" hidden="1" customHeight="1">
      <c r="A51" s="1259" t="s">
        <v>235</v>
      </c>
      <c r="B51" s="1259" t="s">
        <v>236</v>
      </c>
      <c r="C51" s="1230"/>
      <c r="D51" s="1230"/>
      <c r="E51" s="2564"/>
      <c r="F51" s="2563"/>
      <c r="G51" s="1230"/>
      <c r="H51" s="1230"/>
      <c r="I51" s="1230"/>
      <c r="J51" s="1230"/>
      <c r="K51" s="1230"/>
      <c r="L51" s="1374"/>
      <c r="M51" s="1237"/>
      <c r="N51" s="1237"/>
      <c r="P51" s="1232"/>
      <c r="Q51" s="1233"/>
      <c r="R51" s="1232"/>
      <c r="S51" s="1238"/>
      <c r="T51" s="1241" t="s">
        <v>414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344" customFormat="1" ht="0" hidden="1" customHeight="1">
      <c r="A52" s="1259" t="s">
        <v>235</v>
      </c>
      <c r="B52" s="1259"/>
      <c r="C52" s="1259"/>
      <c r="D52" s="1259"/>
      <c r="E52" s="2563"/>
      <c r="F52" s="1259"/>
      <c r="G52" s="1259"/>
      <c r="H52" s="1259"/>
      <c r="I52" s="1259"/>
      <c r="J52" s="1259"/>
      <c r="K52" s="1259"/>
      <c r="L52" s="1262"/>
      <c r="M52" s="1237"/>
      <c r="N52" s="1237"/>
      <c r="O52" s="454"/>
      <c r="P52" s="316"/>
      <c r="Q52" s="1260"/>
      <c r="R52" s="316"/>
      <c r="S52" s="1238"/>
      <c r="T52" s="1241" t="s">
        <v>415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344"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447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62"/>
      <c r="U55" s="2562"/>
      <c r="V55" s="2562"/>
      <c r="W55" s="2562"/>
      <c r="X55" s="2562"/>
      <c r="Y55" s="2562"/>
      <c r="Z55" s="2562"/>
      <c r="AA55" s="2562"/>
      <c r="AB55" s="2562"/>
      <c r="AC55" s="2562"/>
      <c r="AD55" s="2562"/>
      <c r="AE55" s="2562"/>
      <c r="AF55" s="2562"/>
      <c r="AG55" s="2562"/>
      <c r="AH55" s="2562"/>
      <c r="AI55" s="2562"/>
      <c r="AJ55" s="2562"/>
      <c r="AK55" s="2562"/>
      <c r="AQ55" s="1071">
        <v>14</v>
      </c>
    </row>
    <row r="56" spans="1:43" ht="14.65" customHeight="1">
      <c r="O56" s="473"/>
      <c r="AQ56" s="1071">
        <v>14</v>
      </c>
    </row>
    <row r="57" spans="1:43" ht="14.65" customHeight="1">
      <c r="O57" s="473"/>
      <c r="S57" s="1169"/>
      <c r="T57" s="2562"/>
      <c r="U57" s="2562"/>
      <c r="V57" s="2562"/>
      <c r="W57" s="2562"/>
      <c r="X57" s="2562"/>
      <c r="Y57" s="2562"/>
      <c r="Z57" s="2562"/>
      <c r="AA57" s="2562"/>
      <c r="AB57" s="2562"/>
      <c r="AC57" s="2562"/>
      <c r="AD57" s="2562"/>
      <c r="AE57" s="2562"/>
      <c r="AF57" s="2562"/>
      <c r="AG57" s="2562"/>
      <c r="AH57" s="2562"/>
      <c r="AI57" s="2562"/>
      <c r="AJ57" s="2562"/>
      <c r="AK57" s="2562"/>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4.140625" style="2357" hidden="1" customWidth="1"/>
    <col min="10" max="10" width="9.85546875" style="2357" hidden="1" customWidth="1"/>
    <col min="11" max="11" width="14.710937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4" width="24.7109375" style="2360" hidden="1" customWidth="1"/>
    <col min="25" max="25" width="11.7109375" style="2360" hidden="1" customWidth="1"/>
    <col min="26" max="26" width="3.7109375" style="2360" hidden="1" customWidth="1"/>
    <col min="27" max="27" width="11.7109375" style="2360" hidden="1" customWidth="1"/>
    <col min="28" max="28" width="8.5703125" style="2360" hidden="1" customWidth="1"/>
    <col min="29" max="29" width="24.7109375" style="2360" customWidth="1"/>
    <col min="30" max="31" width="24" style="2360" customWidth="1"/>
    <col min="32" max="32" width="11" style="2360" customWidth="1"/>
    <col min="33" max="33" width="3.7109375" style="2360" customWidth="1"/>
    <col min="34" max="34" width="11" style="2360" customWidth="1"/>
    <col min="35" max="35" width="8.5703125" style="2360" hidden="1" customWidth="1"/>
    <col min="36" max="36" width="4" style="2360" customWidth="1"/>
    <col min="37" max="37" width="115" style="2360" customWidth="1"/>
    <col min="38" max="42" width="10" style="2344" customWidth="1"/>
    <col min="43" max="43" width="10.5703125" style="2360" hidden="1"/>
  </cols>
  <sheetData>
    <row r="1" spans="1:43" ht="22.5" hidden="1" customHeight="1">
      <c r="X1" s="264"/>
      <c r="Y1" s="264"/>
      <c r="AE1" s="264"/>
      <c r="AF1" s="264"/>
      <c r="AQ1" s="1071" t="s">
        <v>14</v>
      </c>
    </row>
    <row r="2" spans="1:43" ht="23.25" hidden="1" customHeight="1">
      <c r="A2" s="1279"/>
      <c r="B2" s="1279"/>
      <c r="C2" s="1279"/>
      <c r="D2" s="1279"/>
      <c r="E2" s="2563">
        <v>1</v>
      </c>
      <c r="F2" s="1279"/>
      <c r="G2" s="1279"/>
      <c r="H2" s="1279"/>
      <c r="I2" s="1279"/>
      <c r="J2" s="1279"/>
      <c r="K2" s="1279"/>
      <c r="L2" s="1280"/>
      <c r="M2" s="1281"/>
      <c r="N2" s="1281"/>
      <c r="O2" s="1281"/>
      <c r="P2" s="297"/>
      <c r="Q2" s="296"/>
      <c r="R2" s="291"/>
      <c r="S2" s="1373" t="e">
        <f>INDEX(PT_DIFFERENTIATION_NUM_NTAR,MATCH(A2,PT_DIFFERENTIATION_NTAR_ID,0))</f>
        <v>#N/A</v>
      </c>
      <c r="T2" s="235" t="s">
        <v>124</v>
      </c>
      <c r="U2" s="237"/>
      <c r="V2" s="2557"/>
      <c r="W2" s="2558"/>
      <c r="X2" s="2558"/>
      <c r="Y2" s="2558"/>
      <c r="Z2" s="2558"/>
      <c r="AA2" s="2558"/>
      <c r="AB2" s="2559"/>
      <c r="AC2" s="2557" t="e">
        <f>INDEX(PT_DIFFERENTIATION_NTAR,MATCH(A2,PT_DIFFERENTIATION_NTAR_ID,0))</f>
        <v>#N/A</v>
      </c>
      <c r="AD2" s="2558"/>
      <c r="AE2" s="2558"/>
      <c r="AF2" s="2558"/>
      <c r="AG2" s="2558"/>
      <c r="AH2" s="2558"/>
      <c r="AI2" s="2558"/>
      <c r="AJ2" s="255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564"/>
      <c r="F3" s="2563">
        <v>1</v>
      </c>
      <c r="G3" s="1279"/>
      <c r="H3" s="1279"/>
      <c r="I3" s="1279"/>
      <c r="J3" s="1279"/>
      <c r="K3" s="1279"/>
      <c r="L3" s="1280"/>
      <c r="M3" s="1281"/>
      <c r="N3" s="1281"/>
      <c r="O3" s="1281"/>
      <c r="P3" s="1369"/>
      <c r="Q3" s="288"/>
      <c r="R3" s="289"/>
      <c r="S3" s="1373" t="e">
        <f>INDEX(PT_DIFFERENTIATION_NUM_TER,MATCH(B3,PT_DIFFERENTIATION_TER_ID,0))</f>
        <v>#N/A</v>
      </c>
      <c r="T3" s="245" t="s">
        <v>396</v>
      </c>
      <c r="U3" s="237"/>
      <c r="V3" s="2557"/>
      <c r="W3" s="2558"/>
      <c r="X3" s="2558"/>
      <c r="Y3" s="2558"/>
      <c r="Z3" s="2558"/>
      <c r="AA3" s="2558"/>
      <c r="AB3" s="2559"/>
      <c r="AC3" s="2557" t="e">
        <f>INDEX(PT_DIFFERENTIATION_TER,MATCH(B3,PT_DIFFERENTIATION_TER_ID,0))</f>
        <v>#N/A</v>
      </c>
      <c r="AD3" s="2558"/>
      <c r="AE3" s="2558"/>
      <c r="AF3" s="2558"/>
      <c r="AG3" s="2558"/>
      <c r="AH3" s="2558"/>
      <c r="AI3" s="2558"/>
      <c r="AJ3" s="2559"/>
      <c r="AK3" s="1174" t="s">
        <v>397</v>
      </c>
      <c r="AM3" s="436"/>
      <c r="AN3" s="436" t="str">
        <f t="shared" si="0"/>
        <v>Территория действия тарифа</v>
      </c>
      <c r="AO3" s="436"/>
      <c r="AP3" s="436"/>
      <c r="AQ3" s="1071">
        <v>0</v>
      </c>
    </row>
    <row r="4" spans="1:43" ht="23.25" hidden="1" customHeight="1">
      <c r="A4" s="1279"/>
      <c r="B4" s="1279"/>
      <c r="C4" s="1279"/>
      <c r="D4" s="1279"/>
      <c r="E4" s="2564"/>
      <c r="F4" s="2564"/>
      <c r="G4" s="2563">
        <v>1</v>
      </c>
      <c r="H4" s="1279"/>
      <c r="I4" s="1279"/>
      <c r="J4" s="1279"/>
      <c r="K4" s="1279"/>
      <c r="L4" s="1280"/>
      <c r="M4" s="1281"/>
      <c r="N4" s="1281"/>
      <c r="O4" s="1281"/>
      <c r="P4" s="290"/>
      <c r="Q4" s="288"/>
      <c r="R4" s="289"/>
      <c r="S4" s="1373" t="e">
        <f>INDEX(PT_DIFFERENTIATION_NUM_CS,MATCH(C4,PT_DIFFERENTIATION_CS_ID,0))</f>
        <v>#N/A</v>
      </c>
      <c r="T4" s="246" t="s">
        <v>480</v>
      </c>
      <c r="U4" s="237"/>
      <c r="V4" s="2557"/>
      <c r="W4" s="2558"/>
      <c r="X4" s="2558"/>
      <c r="Y4" s="2558"/>
      <c r="Z4" s="2558"/>
      <c r="AA4" s="2558"/>
      <c r="AB4" s="2559"/>
      <c r="AC4" s="2557" t="e">
        <f>INDEX(PT_DIFFERENTIATION_CS,MATCH(C4,PT_DIFFERENTIATION_CS_ID,0))</f>
        <v>#N/A</v>
      </c>
      <c r="AD4" s="2558"/>
      <c r="AE4" s="2558"/>
      <c r="AF4" s="2558"/>
      <c r="AG4" s="2558"/>
      <c r="AH4" s="2558"/>
      <c r="AI4" s="2558"/>
      <c r="AJ4" s="2559"/>
      <c r="AK4" s="1174" t="s">
        <v>481</v>
      </c>
      <c r="AM4" s="436"/>
      <c r="AN4" s="436" t="str">
        <f t="shared" si="0"/>
        <v>Наименование централизованной системы холодного водоснабжения</v>
      </c>
      <c r="AO4" s="436"/>
      <c r="AP4" s="436"/>
      <c r="AQ4" s="1071">
        <v>0</v>
      </c>
    </row>
    <row r="5" spans="1:43" ht="23.25" hidden="1" customHeight="1">
      <c r="A5" s="1279"/>
      <c r="B5" s="1279"/>
      <c r="C5" s="1279"/>
      <c r="D5" s="1279"/>
      <c r="E5" s="2564"/>
      <c r="F5" s="2564"/>
      <c r="G5" s="2564"/>
      <c r="H5" s="2564"/>
      <c r="I5" s="2565" t="e">
        <f>S4&amp;".1"</f>
        <v>#N/A</v>
      </c>
      <c r="J5" s="1279"/>
      <c r="K5" s="1279"/>
      <c r="L5" s="1280"/>
      <c r="P5" s="2567">
        <v>1</v>
      </c>
      <c r="Q5" s="1366"/>
      <c r="R5" s="292"/>
      <c r="S5" s="1373" t="e">
        <f>$I5</f>
        <v>#N/A</v>
      </c>
      <c r="T5" s="222" t="s">
        <v>482</v>
      </c>
      <c r="U5" s="237"/>
      <c r="V5" s="2631"/>
      <c r="W5" s="2632"/>
      <c r="X5" s="2632"/>
      <c r="Y5" s="2632"/>
      <c r="Z5" s="2632"/>
      <c r="AA5" s="2632"/>
      <c r="AB5" s="2633"/>
      <c r="AC5" s="2634"/>
      <c r="AD5" s="2635"/>
      <c r="AE5" s="2635"/>
      <c r="AF5" s="2635"/>
      <c r="AG5" s="2635"/>
      <c r="AH5" s="2635"/>
      <c r="AI5" s="2635"/>
      <c r="AJ5" s="2636"/>
      <c r="AK5" s="1174" t="s">
        <v>483</v>
      </c>
      <c r="AM5" s="436"/>
      <c r="AN5" s="436" t="str">
        <f t="shared" si="0"/>
        <v>Наименование признака дифференциации</v>
      </c>
      <c r="AO5" s="436"/>
      <c r="AP5" s="436"/>
      <c r="AQ5" s="1071">
        <v>0</v>
      </c>
    </row>
    <row r="6" spans="1:43" ht="23.25" hidden="1" customHeight="1">
      <c r="A6" s="1279"/>
      <c r="B6" s="1279"/>
      <c r="C6" s="1279"/>
      <c r="D6" s="1279"/>
      <c r="E6" s="2564"/>
      <c r="F6" s="2564"/>
      <c r="G6" s="2564"/>
      <c r="H6" s="2564"/>
      <c r="I6" s="2566"/>
      <c r="J6" s="2565" t="e">
        <f>I5&amp;".1"</f>
        <v>#N/A</v>
      </c>
      <c r="K6" s="1279"/>
      <c r="L6" s="1280" t="s">
        <v>405</v>
      </c>
      <c r="P6" s="2567"/>
      <c r="Q6" s="2567">
        <v>1</v>
      </c>
      <c r="R6" s="293"/>
      <c r="S6" s="1373" t="e">
        <f>$J6</f>
        <v>#N/A</v>
      </c>
      <c r="T6" s="223" t="s">
        <v>406</v>
      </c>
      <c r="U6" s="237"/>
      <c r="V6" s="2551"/>
      <c r="W6" s="2552"/>
      <c r="X6" s="2552"/>
      <c r="Y6" s="2552"/>
      <c r="Z6" s="2552"/>
      <c r="AA6" s="2552"/>
      <c r="AB6" s="2553"/>
      <c r="AC6" s="2551"/>
      <c r="AD6" s="2552"/>
      <c r="AE6" s="2552"/>
      <c r="AF6" s="2552"/>
      <c r="AG6" s="2552"/>
      <c r="AH6" s="2552"/>
      <c r="AI6" s="2552"/>
      <c r="AJ6" s="2553"/>
      <c r="AK6" s="1223" t="s">
        <v>484</v>
      </c>
      <c r="AM6" s="436"/>
      <c r="AN6" s="436" t="str">
        <f t="shared" si="0"/>
        <v>Группа потребителей</v>
      </c>
      <c r="AO6" s="436"/>
      <c r="AP6" s="436"/>
      <c r="AQ6" s="1071">
        <v>0</v>
      </c>
    </row>
    <row r="7" spans="1:43" ht="23.25" hidden="1" customHeight="1">
      <c r="A7" s="1279"/>
      <c r="B7" s="1279"/>
      <c r="C7" s="1279"/>
      <c r="D7" s="1279"/>
      <c r="E7" s="2564"/>
      <c r="F7" s="2564"/>
      <c r="G7" s="2564"/>
      <c r="H7" s="2564"/>
      <c r="I7" s="2566"/>
      <c r="J7" s="2566"/>
      <c r="K7" s="2565" t="e">
        <f>J6&amp;".1"</f>
        <v>#N/A</v>
      </c>
      <c r="L7" s="1280"/>
      <c r="P7" s="2567"/>
      <c r="Q7" s="2567"/>
      <c r="R7" s="293">
        <v>1</v>
      </c>
      <c r="S7" s="1373" t="e">
        <f>$K7</f>
        <v>#N/A</v>
      </c>
      <c r="T7" s="1353"/>
      <c r="U7" s="237"/>
      <c r="V7" s="687"/>
      <c r="W7" s="687"/>
      <c r="X7" s="1173"/>
      <c r="Y7" s="2568"/>
      <c r="Z7" s="2445" t="s">
        <v>62</v>
      </c>
      <c r="AA7" s="2568"/>
      <c r="AB7" s="2445" t="s">
        <v>62</v>
      </c>
      <c r="AC7" s="687"/>
      <c r="AD7" s="687"/>
      <c r="AE7" s="1173"/>
      <c r="AF7" s="2568"/>
      <c r="AG7" s="2445" t="s">
        <v>62</v>
      </c>
      <c r="AH7" s="2570"/>
      <c r="AI7" s="2445" t="s">
        <v>62</v>
      </c>
      <c r="AJ7" s="1354"/>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564"/>
      <c r="F8" s="2564"/>
      <c r="G8" s="2564"/>
      <c r="H8" s="2564"/>
      <c r="I8" s="2566"/>
      <c r="J8" s="2566"/>
      <c r="K8" s="2565"/>
      <c r="L8" s="1280"/>
      <c r="P8" s="2567"/>
      <c r="Q8" s="2567"/>
      <c r="R8" s="293"/>
      <c r="S8" s="1372"/>
      <c r="T8" s="237"/>
      <c r="U8" s="237"/>
      <c r="V8" s="262"/>
      <c r="W8" s="262"/>
      <c r="X8" s="265" t="str">
        <f>Y7&amp;"-"&amp;AA7</f>
        <v>-</v>
      </c>
      <c r="Y8" s="2569"/>
      <c r="Z8" s="2445"/>
      <c r="AA8" s="2569"/>
      <c r="AB8" s="2445"/>
      <c r="AC8" s="262"/>
      <c r="AD8" s="262"/>
      <c r="AE8" s="265" t="str">
        <f>AF7&amp;"-"&amp;AH7</f>
        <v>-</v>
      </c>
      <c r="AF8" s="2569"/>
      <c r="AG8" s="2445"/>
      <c r="AH8" s="2571"/>
      <c r="AI8" s="2445"/>
      <c r="AJ8" s="1355"/>
      <c r="AK8" s="2637"/>
      <c r="AM8" s="436"/>
      <c r="AN8" s="436" t="str">
        <f t="shared" si="0"/>
        <v/>
      </c>
      <c r="AO8" s="436"/>
      <c r="AP8" s="436"/>
      <c r="AQ8" s="1071">
        <v>0</v>
      </c>
    </row>
    <row r="9" spans="1:43" ht="21" hidden="1" customHeight="1">
      <c r="A9" s="1279"/>
      <c r="B9" s="1279"/>
      <c r="C9" s="1279"/>
      <c r="D9" s="1279"/>
      <c r="E9" s="2564"/>
      <c r="F9" s="2564"/>
      <c r="G9" s="2564"/>
      <c r="H9" s="2564"/>
      <c r="I9" s="2566"/>
      <c r="J9" s="2565"/>
      <c r="K9" s="1279"/>
      <c r="L9" s="1280"/>
      <c r="P9" s="2567"/>
      <c r="Q9" s="2567"/>
      <c r="R9" s="292"/>
      <c r="S9" s="1194"/>
      <c r="T9" s="224" t="s">
        <v>485</v>
      </c>
      <c r="U9" s="303"/>
      <c r="V9" s="303"/>
      <c r="W9" s="303"/>
      <c r="X9" s="303"/>
      <c r="Y9" s="303"/>
      <c r="Z9" s="303"/>
      <c r="AA9" s="303"/>
      <c r="AB9" s="303"/>
      <c r="AC9" s="303"/>
      <c r="AD9" s="303"/>
      <c r="AE9" s="303"/>
      <c r="AF9" s="303"/>
      <c r="AG9" s="303"/>
      <c r="AH9" s="303"/>
      <c r="AI9" s="303"/>
      <c r="AJ9" s="303"/>
      <c r="AK9" s="1174" t="s">
        <v>486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564"/>
      <c r="F10" s="2564"/>
      <c r="G10" s="2564"/>
      <c r="H10" s="2564"/>
      <c r="I10" s="2565"/>
      <c r="J10" s="1279"/>
      <c r="K10" s="1279"/>
      <c r="L10" s="1280"/>
      <c r="P10" s="2567"/>
      <c r="Q10" s="1366"/>
      <c r="R10" s="292"/>
      <c r="S10" s="1194"/>
      <c r="T10" s="301" t="s">
        <v>411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564"/>
      <c r="F11" s="2564"/>
      <c r="G11" s="2564"/>
      <c r="H11" s="2563"/>
      <c r="I11" s="1279"/>
      <c r="J11" s="1279"/>
      <c r="K11" s="1279"/>
      <c r="L11" s="1280"/>
      <c r="M11" s="1281"/>
      <c r="N11" s="1281"/>
      <c r="O11" s="473"/>
      <c r="P11" s="296"/>
      <c r="Q11" s="311"/>
      <c r="R11" s="291"/>
      <c r="S11" s="119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344" customFormat="1" ht="14.25" hidden="1" customHeight="1">
      <c r="A12" s="1259"/>
      <c r="B12" s="1259"/>
      <c r="C12" s="1230"/>
      <c r="D12" s="1230"/>
      <c r="E12" s="2564"/>
      <c r="F12" s="2563"/>
      <c r="G12" s="1230"/>
      <c r="H12" s="1230"/>
      <c r="I12" s="1230"/>
      <c r="J12" s="1230"/>
      <c r="K12" s="1230"/>
      <c r="L12" s="1374"/>
      <c r="M12" s="1237"/>
      <c r="N12" s="1237"/>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344" customFormat="1" ht="14.25" hidden="1" customHeight="1">
      <c r="A13" s="1259"/>
      <c r="B13" s="1259"/>
      <c r="C13" s="1259"/>
      <c r="D13" s="1259"/>
      <c r="E13" s="2563"/>
      <c r="F13" s="1259"/>
      <c r="G13" s="1259"/>
      <c r="H13" s="1259"/>
      <c r="I13" s="1259"/>
      <c r="J13" s="1259"/>
      <c r="K13" s="1259"/>
      <c r="L13" s="1262"/>
      <c r="M13" s="1237"/>
      <c r="N13" s="1237"/>
      <c r="O13" s="454"/>
      <c r="P13" s="316"/>
      <c r="Q13" s="1260"/>
      <c r="R13" s="316"/>
      <c r="S13" s="1238"/>
      <c r="T13" s="1241" t="s">
        <v>415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61"/>
      <c r="AG15" s="2560" t="s">
        <v>62</v>
      </c>
      <c r="AH15" s="2561"/>
      <c r="AI15" s="2560" t="s">
        <v>62</v>
      </c>
      <c r="AQ15" s="1071">
        <v>0</v>
      </c>
    </row>
    <row r="16" spans="1:43" ht="14.25" hidden="1" customHeight="1">
      <c r="AC16" s="1276"/>
      <c r="AD16" s="1276"/>
      <c r="AE16" s="265" t="str">
        <f>AF15&amp;"-"&amp;AH15</f>
        <v>-</v>
      </c>
      <c r="AF16" s="2560"/>
      <c r="AG16" s="2560"/>
      <c r="AH16" s="2560"/>
      <c r="AI16" s="2560"/>
      <c r="AQ16" s="1071">
        <v>0</v>
      </c>
    </row>
    <row r="17" spans="1:43" ht="14.25" hidden="1" customHeight="1">
      <c r="AI17" s="264"/>
      <c r="AQ17" s="1071">
        <v>0</v>
      </c>
    </row>
    <row r="18" spans="1:43" s="2357" customFormat="1" ht="22.5" hidden="1" customHeight="1">
      <c r="L18" s="1363"/>
      <c r="M18" s="1278"/>
      <c r="N18" s="1278"/>
      <c r="O18" s="1283" t="s">
        <v>416</v>
      </c>
      <c r="P18" s="1278"/>
      <c r="Q18" s="1287"/>
      <c r="R18" s="1287"/>
      <c r="S18" s="665"/>
      <c r="Y18" s="1283"/>
      <c r="AA18" s="1283"/>
      <c r="AB18" s="1282"/>
      <c r="AF18" s="1283"/>
      <c r="AH18" s="1283"/>
      <c r="AI18" s="1282"/>
      <c r="AL18" s="447"/>
      <c r="AM18" s="447"/>
      <c r="AN18" s="447"/>
      <c r="AO18" s="447"/>
      <c r="AP18" s="447"/>
      <c r="AQ18" s="1076">
        <v>0</v>
      </c>
    </row>
    <row r="19" spans="1:43" s="2357" customFormat="1" ht="14.25" hidden="1" customHeight="1">
      <c r="L19" s="1363"/>
      <c r="M19" s="1278"/>
      <c r="N19" s="1278"/>
      <c r="O19" s="1278"/>
      <c r="P19" s="1278"/>
      <c r="Q19" s="1287"/>
      <c r="R19" s="1287"/>
      <c r="S19" s="665"/>
      <c r="AB19" s="1282"/>
      <c r="AI19" s="1282"/>
      <c r="AL19" s="447"/>
      <c r="AM19" s="447"/>
      <c r="AN19" s="447"/>
      <c r="AO19" s="447"/>
      <c r="AP19" s="447"/>
      <c r="AQ19" s="1076">
        <v>0</v>
      </c>
    </row>
    <row r="20" spans="1:43" s="2357" customFormat="1" ht="12" hidden="1" customHeight="1">
      <c r="L20" s="1363"/>
      <c r="M20" s="1278"/>
      <c r="N20" s="1278"/>
      <c r="O20" s="1280" t="s">
        <v>417</v>
      </c>
      <c r="P20" s="1278"/>
      <c r="Q20" s="1358"/>
      <c r="R20" s="1358"/>
      <c r="S20" s="665"/>
      <c r="T20" s="1076" t="s">
        <v>418</v>
      </c>
      <c r="Z20" s="123" t="s">
        <v>419</v>
      </c>
      <c r="AB20" s="123" t="s">
        <v>420</v>
      </c>
      <c r="AC20" s="1076" t="s">
        <v>418</v>
      </c>
      <c r="AG20" s="123" t="s">
        <v>421</v>
      </c>
      <c r="AI20" s="123" t="s">
        <v>420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4"/>
      <c r="U24" s="2544"/>
      <c r="V24" s="2544"/>
      <c r="W24" s="2544"/>
      <c r="X24" s="2544"/>
      <c r="Y24" s="2544"/>
      <c r="Z24" s="2544"/>
      <c r="AA24" s="2544"/>
      <c r="AB24" s="2544"/>
      <c r="AC24" s="2544"/>
      <c r="AD24" s="2544"/>
      <c r="AE24" s="2544"/>
      <c r="AF24" s="2544"/>
      <c r="AG24" s="2544"/>
      <c r="AH24" s="2544"/>
      <c r="AI24" s="1159"/>
      <c r="AQ24" s="1071">
        <v>14</v>
      </c>
    </row>
    <row r="25" spans="1:43" ht="14.65" customHeight="1">
      <c r="Q25" s="312"/>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380" customFormat="1" ht="25.5" hidden="1" customHeight="1">
      <c r="A27" s="1284"/>
      <c r="B27" s="1284"/>
      <c r="C27" s="1284"/>
      <c r="D27" s="1284"/>
      <c r="E27" s="1284"/>
      <c r="F27" s="1284"/>
      <c r="G27" s="1284"/>
      <c r="H27" s="1284"/>
      <c r="I27" s="1284"/>
      <c r="J27" s="1284"/>
      <c r="K27" s="1284"/>
      <c r="L27" s="1285"/>
      <c r="M27" s="1284"/>
      <c r="N27" s="1284"/>
      <c r="O27" s="1284"/>
      <c r="S27" s="2554" t="s">
        <v>41</v>
      </c>
      <c r="T27" s="2554"/>
      <c r="U27" s="1288"/>
      <c r="V27" s="2556" t="str">
        <f>IF(TITLE_NAME_OR_PR_CHANGE="",IF(TITLE_NAME_OR_PR="","",TITLE_NAME_OR_PR),TITLE_NAME_OR_PR_CHANGE)</f>
        <v/>
      </c>
      <c r="W27" s="2556"/>
      <c r="X27" s="2556"/>
      <c r="Y27" s="2556"/>
      <c r="Z27" s="2556"/>
      <c r="AA27" s="2556"/>
      <c r="AB27" s="263"/>
      <c r="AC27" s="2556" t="str">
        <f>IF(TITLE_NAME_OR_PR_CHANGE="",IF(TITLE_NAME_OR_PR="","",TITLE_NAME_OR_PR),TITLE_NAME_OR_PR_CHANGE)</f>
        <v/>
      </c>
      <c r="AD27" s="2556"/>
      <c r="AE27" s="2556"/>
      <c r="AF27" s="2556"/>
      <c r="AG27" s="2556"/>
      <c r="AH27" s="2556"/>
      <c r="AI27" s="263"/>
      <c r="AJ27" s="263"/>
      <c r="AK27" s="217"/>
      <c r="AL27" s="304"/>
      <c r="AM27" s="304"/>
      <c r="AN27" s="304"/>
      <c r="AO27" s="304"/>
      <c r="AP27" s="304"/>
      <c r="AQ27" s="354">
        <v>0</v>
      </c>
    </row>
    <row r="28" spans="1:43" s="2380" customFormat="1" ht="18.75" hidden="1" customHeight="1">
      <c r="A28" s="1284"/>
      <c r="B28" s="1284"/>
      <c r="C28" s="1284"/>
      <c r="D28" s="1284"/>
      <c r="E28" s="1284"/>
      <c r="F28" s="1284"/>
      <c r="G28" s="1284"/>
      <c r="H28" s="1284"/>
      <c r="I28" s="1284"/>
      <c r="J28" s="1284"/>
      <c r="K28" s="1284"/>
      <c r="L28" s="1285"/>
      <c r="M28" s="1284"/>
      <c r="N28" s="1284"/>
      <c r="O28" s="1284"/>
      <c r="S28" s="2554" t="s">
        <v>422</v>
      </c>
      <c r="T28" s="2554"/>
      <c r="U28" s="1288"/>
      <c r="V28" s="2555" t="str">
        <f>IF(TITLE_DATE_PR_CHANGE="",IF(TITLE_DATE_PR="","",TITLE_DATE_PR),TITLE_DATE_PR_CHANGE)</f>
        <v/>
      </c>
      <c r="W28" s="2555"/>
      <c r="X28" s="2555"/>
      <c r="Y28" s="2555"/>
      <c r="Z28" s="2555"/>
      <c r="AA28" s="2555"/>
      <c r="AB28" s="263"/>
      <c r="AC28" s="2555" t="str">
        <f>IF(TITLE_DATE_PR_CHANGE="",IF(TITLE_DATE_PR="","",TITLE_DATE_PR),TITLE_DATE_PR_CHANGE)</f>
        <v/>
      </c>
      <c r="AD28" s="2555"/>
      <c r="AE28" s="2555"/>
      <c r="AF28" s="2555"/>
      <c r="AG28" s="2555"/>
      <c r="AH28" s="2555"/>
      <c r="AI28" s="263"/>
      <c r="AJ28" s="263"/>
      <c r="AK28" s="217"/>
      <c r="AL28" s="304"/>
      <c r="AM28" s="304"/>
      <c r="AN28" s="304"/>
      <c r="AO28" s="304"/>
      <c r="AP28" s="304"/>
      <c r="AQ28" s="354">
        <v>0</v>
      </c>
    </row>
    <row r="29" spans="1:43" s="2380" customFormat="1" ht="18.75" hidden="1" customHeight="1">
      <c r="A29" s="1284"/>
      <c r="B29" s="1284"/>
      <c r="C29" s="1284"/>
      <c r="D29" s="1284"/>
      <c r="E29" s="1284"/>
      <c r="F29" s="1284"/>
      <c r="G29" s="1284"/>
      <c r="H29" s="1284"/>
      <c r="I29" s="1284"/>
      <c r="J29" s="1284"/>
      <c r="K29" s="1284"/>
      <c r="L29" s="1285"/>
      <c r="M29" s="1284"/>
      <c r="N29" s="1284"/>
      <c r="O29" s="1284"/>
      <c r="S29" s="2554" t="s">
        <v>423</v>
      </c>
      <c r="T29" s="2554"/>
      <c r="U29" s="1288"/>
      <c r="V29" s="2556" t="str">
        <f>IF(TITLE_NUMBER_PR_CHANGE="",IF(TITLE_NUMBER_PR="","",TITLE_NUMBER_PR),TITLE_NUMBER_PR_CHANGE)</f>
        <v/>
      </c>
      <c r="W29" s="2556"/>
      <c r="X29" s="2556"/>
      <c r="Y29" s="2556"/>
      <c r="Z29" s="2556"/>
      <c r="AA29" s="2556"/>
      <c r="AB29" s="263"/>
      <c r="AC29" s="2556" t="str">
        <f>IF(TITLE_NUMBER_PR_CHANGE="",IF(TITLE_NUMBER_PR="","",TITLE_NUMBER_PR),TITLE_NUMBER_PR_CHANGE)</f>
        <v/>
      </c>
      <c r="AD29" s="2556"/>
      <c r="AE29" s="2556"/>
      <c r="AF29" s="2556"/>
      <c r="AG29" s="2556"/>
      <c r="AH29" s="2556"/>
      <c r="AI29" s="263"/>
      <c r="AJ29" s="263"/>
      <c r="AK29" s="217"/>
      <c r="AL29" s="304"/>
      <c r="AM29" s="304"/>
      <c r="AN29" s="304"/>
      <c r="AO29" s="304"/>
      <c r="AP29" s="304"/>
      <c r="AQ29" s="354">
        <v>0</v>
      </c>
    </row>
    <row r="30" spans="1:43" s="2380" customFormat="1" ht="18.75" hidden="1" customHeight="1">
      <c r="A30" s="1284"/>
      <c r="B30" s="1284"/>
      <c r="C30" s="1284"/>
      <c r="D30" s="1284"/>
      <c r="E30" s="1284"/>
      <c r="F30" s="1284"/>
      <c r="G30" s="1284"/>
      <c r="H30" s="1284"/>
      <c r="I30" s="1284"/>
      <c r="J30" s="1284"/>
      <c r="K30" s="1284"/>
      <c r="L30" s="1285"/>
      <c r="M30" s="1284"/>
      <c r="N30" s="1284"/>
      <c r="O30" s="1284"/>
      <c r="S30" s="2554" t="s">
        <v>42</v>
      </c>
      <c r="T30" s="2554"/>
      <c r="U30" s="1288"/>
      <c r="V30" s="2556" t="str">
        <f>IF(TITLE_IST_PUB_CHANGE="",IF(TITLE_IST_PUB="","",TITLE_IST_PUB),TITLE_IST_PUB_CHANGE)</f>
        <v/>
      </c>
      <c r="W30" s="2556"/>
      <c r="X30" s="2556"/>
      <c r="Y30" s="2556"/>
      <c r="Z30" s="2556"/>
      <c r="AA30" s="2556"/>
      <c r="AB30" s="263"/>
      <c r="AC30" s="2556" t="str">
        <f>IF(TITLE_IST_PUB_CHANGE="",IF(TITLE_IST_PUB="","",TITLE_IST_PUB),TITLE_IST_PUB_CHANGE)</f>
        <v/>
      </c>
      <c r="AD30" s="2556"/>
      <c r="AE30" s="2556"/>
      <c r="AF30" s="2556"/>
      <c r="AG30" s="2556"/>
      <c r="AH30" s="2556"/>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380" customFormat="1" ht="18.75" hidden="1" customHeight="1">
      <c r="A32" s="1284"/>
      <c r="B32" s="1284"/>
      <c r="C32" s="1284"/>
      <c r="D32" s="1284"/>
      <c r="E32" s="1284"/>
      <c r="F32" s="1284"/>
      <c r="G32" s="1284"/>
      <c r="H32" s="1284"/>
      <c r="I32" s="1284"/>
      <c r="J32" s="1284"/>
      <c r="K32" s="1284"/>
      <c r="L32" s="1285"/>
      <c r="M32" s="1284"/>
      <c r="N32" s="1284"/>
      <c r="O32" s="1284"/>
      <c r="S32" s="2554" t="s">
        <v>424</v>
      </c>
      <c r="T32" s="2554"/>
      <c r="U32" s="1288"/>
      <c r="V32" s="2555" t="str">
        <f>IF(TITLE_DATE_PR_CHANGE="",IF(TITLE_DATE_PR="","",TITLE_DATE_PR),TITLE_DATE_PR_CHANGE)</f>
        <v/>
      </c>
      <c r="W32" s="2555"/>
      <c r="X32" s="2555"/>
      <c r="Y32" s="2555"/>
      <c r="Z32" s="2555"/>
      <c r="AA32" s="2555"/>
      <c r="AB32" s="263"/>
      <c r="AC32" s="2555" t="str">
        <f>IF(TITLE_DATE_PR_CHANGE="",IF(TITLE_DATE_PR="","",TITLE_DATE_PR),TITLE_DATE_PR_CHANGE)</f>
        <v/>
      </c>
      <c r="AD32" s="2555"/>
      <c r="AE32" s="2555"/>
      <c r="AF32" s="2555"/>
      <c r="AG32" s="2555"/>
      <c r="AH32" s="2555"/>
      <c r="AI32" s="263"/>
      <c r="AJ32" s="263"/>
      <c r="AK32" s="217"/>
      <c r="AL32" s="304"/>
      <c r="AM32" s="304"/>
      <c r="AN32" s="304"/>
      <c r="AO32" s="304"/>
      <c r="AP32" s="304"/>
      <c r="AQ32" s="354">
        <v>0</v>
      </c>
    </row>
    <row r="33" spans="1:43" s="2380" customFormat="1" ht="18.75" hidden="1" customHeight="1">
      <c r="A33" s="1284"/>
      <c r="B33" s="1284"/>
      <c r="C33" s="1284"/>
      <c r="D33" s="1284"/>
      <c r="E33" s="1284"/>
      <c r="F33" s="1284"/>
      <c r="G33" s="1284"/>
      <c r="H33" s="1284"/>
      <c r="I33" s="1284"/>
      <c r="J33" s="1284"/>
      <c r="K33" s="1284"/>
      <c r="L33" s="1285"/>
      <c r="M33" s="1284"/>
      <c r="N33" s="1284"/>
      <c r="O33" s="1284"/>
      <c r="S33" s="2554" t="s">
        <v>425</v>
      </c>
      <c r="T33" s="2554"/>
      <c r="U33" s="1288"/>
      <c r="V33" s="2556" t="str">
        <f>IF(TITLE_NUMBER_PR_CHANGE="",IF(TITLE_NUMBER_PR="","",TITLE_NUMBER_PR),TITLE_NUMBER_PR_CHANGE)</f>
        <v/>
      </c>
      <c r="W33" s="2556"/>
      <c r="X33" s="2556"/>
      <c r="Y33" s="2556"/>
      <c r="Z33" s="2556"/>
      <c r="AA33" s="2556"/>
      <c r="AB33" s="263"/>
      <c r="AC33" s="2556" t="str">
        <f>IF(TITLE_NUMBER_PR_CHANGE="",IF(TITLE_NUMBER_PR="","",TITLE_NUMBER_PR),TITLE_NUMBER_PR_CHANGE)</f>
        <v/>
      </c>
      <c r="AD33" s="2556"/>
      <c r="AE33" s="2556"/>
      <c r="AF33" s="2556"/>
      <c r="AG33" s="2556"/>
      <c r="AH33" s="2556"/>
      <c r="AI33" s="263"/>
      <c r="AJ33" s="263"/>
      <c r="AK33" s="217"/>
      <c r="AL33" s="304"/>
      <c r="AM33" s="304"/>
      <c r="AN33" s="304"/>
      <c r="AO33" s="304"/>
      <c r="AP33" s="304"/>
      <c r="AQ33" s="354">
        <v>0</v>
      </c>
    </row>
    <row r="34" spans="1:43" s="2380" customFormat="1" ht="1.1499999999999999" customHeight="1">
      <c r="A34" s="1284"/>
      <c r="B34" s="1284"/>
      <c r="C34" s="1284"/>
      <c r="D34" s="1284"/>
      <c r="E34" s="1284"/>
      <c r="F34" s="1284"/>
      <c r="G34" s="1284"/>
      <c r="H34" s="1284"/>
      <c r="I34" s="1284"/>
      <c r="J34" s="1284"/>
      <c r="K34" s="1284"/>
      <c r="L34" s="1285"/>
      <c r="M34" s="1284"/>
      <c r="N34" s="1284"/>
      <c r="O34" s="1284"/>
      <c r="S34" s="260"/>
      <c r="T34" s="260"/>
      <c r="U34" s="137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1"/>
      <c r="T35" s="299"/>
      <c r="U35" s="1160"/>
      <c r="V35" s="2575"/>
      <c r="W35" s="2575"/>
      <c r="X35" s="2575"/>
      <c r="Y35" s="2575"/>
      <c r="Z35" s="2575"/>
      <c r="AA35" s="2575"/>
      <c r="AB35" s="2575"/>
      <c r="AC35" s="2575"/>
      <c r="AD35" s="2575"/>
      <c r="AE35" s="2575"/>
      <c r="AF35" s="2575"/>
      <c r="AG35" s="2575"/>
      <c r="AH35" s="2575"/>
      <c r="AI35" s="2575"/>
      <c r="AQ35" s="1071">
        <v>14</v>
      </c>
    </row>
    <row r="36" spans="1:43" ht="14.65" customHeight="1">
      <c r="Q36" s="312"/>
      <c r="R36" s="312"/>
      <c r="S36" s="2435" t="s">
        <v>299</v>
      </c>
      <c r="T36" s="2435"/>
      <c r="U36" s="2435"/>
      <c r="V36" s="2435"/>
      <c r="W36" s="2435"/>
      <c r="X36" s="2435"/>
      <c r="Y36" s="2435"/>
      <c r="Z36" s="2435"/>
      <c r="AA36" s="2435"/>
      <c r="AB36" s="2435"/>
      <c r="AC36" s="2435"/>
      <c r="AD36" s="2435"/>
      <c r="AE36" s="2435"/>
      <c r="AF36" s="2435"/>
      <c r="AG36" s="2435"/>
      <c r="AH36" s="2435"/>
      <c r="AI36" s="2435"/>
      <c r="AJ36" s="2435"/>
      <c r="AK36" s="2435" t="s">
        <v>300</v>
      </c>
      <c r="AQ36" s="1071">
        <v>14</v>
      </c>
    </row>
    <row r="37" spans="1:43" ht="14.65" customHeight="1">
      <c r="Q37" s="312"/>
      <c r="R37" s="312"/>
      <c r="S37" s="2576" t="s">
        <v>88</v>
      </c>
      <c r="T37" s="2524" t="s">
        <v>427</v>
      </c>
      <c r="U37" s="238"/>
      <c r="V37" s="2577" t="s">
        <v>428</v>
      </c>
      <c r="W37" s="2578"/>
      <c r="X37" s="2578"/>
      <c r="Y37" s="2578"/>
      <c r="Z37" s="2578"/>
      <c r="AA37" s="2579"/>
      <c r="AB37" s="2580" t="s">
        <v>429</v>
      </c>
      <c r="AC37" s="2577" t="s">
        <v>428</v>
      </c>
      <c r="AD37" s="2578"/>
      <c r="AE37" s="2578"/>
      <c r="AF37" s="2578"/>
      <c r="AG37" s="2578"/>
      <c r="AH37" s="2579"/>
      <c r="AI37" s="2580" t="s">
        <v>430</v>
      </c>
      <c r="AJ37" s="2583" t="s">
        <v>431</v>
      </c>
      <c r="AK37" s="2435"/>
      <c r="AQ37" s="1071">
        <v>14</v>
      </c>
    </row>
    <row r="38" spans="1:43" ht="35.65" customHeight="1">
      <c r="Q38" s="312"/>
      <c r="R38" s="312"/>
      <c r="S38" s="2576"/>
      <c r="T38" s="2524"/>
      <c r="U38" s="953"/>
      <c r="V38" s="1368" t="s">
        <v>488</v>
      </c>
      <c r="W38" s="2417" t="s">
        <v>434</v>
      </c>
      <c r="X38" s="2416"/>
      <c r="Y38" s="2417" t="s">
        <v>435</v>
      </c>
      <c r="Z38" s="2422"/>
      <c r="AA38" s="2416"/>
      <c r="AB38" s="2581"/>
      <c r="AC38" s="1368" t="s">
        <v>488</v>
      </c>
      <c r="AD38" s="2417" t="s">
        <v>434</v>
      </c>
      <c r="AE38" s="2416"/>
      <c r="AF38" s="2417" t="s">
        <v>435</v>
      </c>
      <c r="AG38" s="2422"/>
      <c r="AH38" s="2416"/>
      <c r="AI38" s="2581"/>
      <c r="AJ38" s="2584"/>
      <c r="AK38" s="2435"/>
      <c r="AQ38" s="1071">
        <v>34</v>
      </c>
    </row>
    <row r="39" spans="1:43" ht="35.65" customHeight="1">
      <c r="A39" s="1286"/>
      <c r="B39" s="1286" t="s">
        <v>136</v>
      </c>
      <c r="C39" s="1286" t="s">
        <v>137</v>
      </c>
      <c r="D39" s="1286" t="s">
        <v>138</v>
      </c>
      <c r="E39" s="1280" t="s">
        <v>436</v>
      </c>
      <c r="F39" s="1280" t="s">
        <v>437</v>
      </c>
      <c r="G39" s="1280" t="s">
        <v>438</v>
      </c>
      <c r="H39" s="1280"/>
      <c r="I39" s="1280" t="s">
        <v>489</v>
      </c>
      <c r="J39" s="1280" t="s">
        <v>441</v>
      </c>
      <c r="K39" s="1280" t="s">
        <v>490</v>
      </c>
      <c r="L39" s="1280" t="s">
        <v>417</v>
      </c>
      <c r="Q39" s="312"/>
      <c r="R39" s="312"/>
      <c r="S39" s="2576"/>
      <c r="T39" s="2524"/>
      <c r="U39" s="239"/>
      <c r="V39" s="1368" t="s">
        <v>491</v>
      </c>
      <c r="W39" s="1138" t="s">
        <v>492</v>
      </c>
      <c r="X39" s="1138" t="s">
        <v>493</v>
      </c>
      <c r="Y39" s="1371" t="s">
        <v>445</v>
      </c>
      <c r="Z39" s="2529" t="s">
        <v>446</v>
      </c>
      <c r="AA39" s="2543"/>
      <c r="AB39" s="2582"/>
      <c r="AC39" s="1368" t="s">
        <v>491</v>
      </c>
      <c r="AD39" s="1138" t="s">
        <v>492</v>
      </c>
      <c r="AE39" s="1138" t="s">
        <v>493</v>
      </c>
      <c r="AF39" s="1371" t="s">
        <v>445</v>
      </c>
      <c r="AG39" s="2529" t="s">
        <v>446</v>
      </c>
      <c r="AH39" s="2543"/>
      <c r="AI39" s="2582"/>
      <c r="AJ39" s="2585"/>
      <c r="AK39" s="2435"/>
      <c r="AQ39" s="1071">
        <v>34</v>
      </c>
    </row>
    <row r="40" spans="1:43" s="2335"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109</v>
      </c>
      <c r="T40" s="1171" t="s">
        <v>110</v>
      </c>
      <c r="U40" s="1161" t="str">
        <f ca="1">OFFSET(U40,0,-1)</f>
        <v>2</v>
      </c>
      <c r="V40" s="1367">
        <f ca="1">OFFSET(V40,0,-1)+1</f>
        <v>3</v>
      </c>
      <c r="W40" s="1367">
        <f ca="1">OFFSET(W40,0,-1)+1</f>
        <v>4</v>
      </c>
      <c r="X40" s="1367">
        <f ca="1">OFFSET(X40,0,-1)+1</f>
        <v>5</v>
      </c>
      <c r="Y40" s="1367">
        <f ca="1">OFFSET(Y40,0,-1)+1</f>
        <v>6</v>
      </c>
      <c r="Z40" s="2574">
        <f ca="1">OFFSET(Z40,0,-1)+1</f>
        <v>7</v>
      </c>
      <c r="AA40" s="2574"/>
      <c r="AB40" s="1367">
        <f ca="1">OFFSET(AB40,0,-2)+1</f>
        <v>8</v>
      </c>
      <c r="AC40" s="1367">
        <f ca="1">OFFSET(AC40,0,-1)+1</f>
        <v>9</v>
      </c>
      <c r="AD40" s="1367">
        <f ca="1">OFFSET(AD40,0,-1)+1</f>
        <v>10</v>
      </c>
      <c r="AE40" s="1367">
        <f ca="1">OFFSET(AE40,0,-1)+1</f>
        <v>11</v>
      </c>
      <c r="AF40" s="1367">
        <f ca="1">OFFSET(AF40,0,-1)+1</f>
        <v>12</v>
      </c>
      <c r="AG40" s="2574">
        <f ca="1">OFFSET(AG40,0,-1)+1</f>
        <v>13</v>
      </c>
      <c r="AH40" s="2574"/>
      <c r="AI40" s="1367">
        <f ca="1">OFFSET(AI40,0,-2)+1</f>
        <v>14</v>
      </c>
      <c r="AJ40" s="1161">
        <f ca="1">OFFSET(AJ40,0,-1)</f>
        <v>14</v>
      </c>
      <c r="AK40" s="1367">
        <f ca="1">OFFSET(AK40,0,-1)+1</f>
        <v>15</v>
      </c>
      <c r="AL40" s="447"/>
      <c r="AM40" s="447"/>
      <c r="AN40" s="447"/>
      <c r="AO40" s="447"/>
      <c r="AP40" s="447"/>
      <c r="AQ40" s="432">
        <v>0</v>
      </c>
    </row>
    <row r="41" spans="1:43" ht="24" customHeight="1">
      <c r="A41" s="1279" t="s">
        <v>240</v>
      </c>
      <c r="B41" s="1279"/>
      <c r="C41" s="1279"/>
      <c r="D41" s="1279"/>
      <c r="E41" s="2563">
        <v>1</v>
      </c>
      <c r="F41" s="1279"/>
      <c r="G41" s="1279"/>
      <c r="H41" s="1279"/>
      <c r="I41" s="1279"/>
      <c r="J41" s="1279"/>
      <c r="K41" s="1279"/>
      <c r="L41" s="1280"/>
      <c r="M41" s="1281"/>
      <c r="N41" s="1281"/>
      <c r="O41" s="1281"/>
      <c r="P41" s="297"/>
      <c r="Q41" s="296"/>
      <c r="R41" s="291"/>
      <c r="S41" s="1373">
        <f>INDEX(PT_DIFFERENTIATION_NUM_NTAR,MATCH(A41,PT_DIFFERENTIATION_NTAR_ID,0))</f>
        <v>0</v>
      </c>
      <c r="T41" s="235" t="s">
        <v>124</v>
      </c>
      <c r="U41" s="237"/>
      <c r="V41" s="2557"/>
      <c r="W41" s="2558"/>
      <c r="X41" s="2558"/>
      <c r="Y41" s="2558"/>
      <c r="Z41" s="2558"/>
      <c r="AA41" s="2558"/>
      <c r="AB41" s="2559"/>
      <c r="AC41" s="2557" t="str">
        <f>INDEX(PT_DIFFERENTIATION_NTAR,MATCH(A41,PT_DIFFERENTIATION_NTAR_ID,0))</f>
        <v/>
      </c>
      <c r="AD41" s="2558"/>
      <c r="AE41" s="2558"/>
      <c r="AF41" s="2558"/>
      <c r="AG41" s="2558"/>
      <c r="AH41" s="2558"/>
      <c r="AI41" s="2558"/>
      <c r="AJ41" s="255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240</v>
      </c>
      <c r="B42" s="1279" t="s">
        <v>241</v>
      </c>
      <c r="C42" s="1279"/>
      <c r="D42" s="1279"/>
      <c r="E42" s="2564"/>
      <c r="F42" s="2563">
        <v>1</v>
      </c>
      <c r="G42" s="1279"/>
      <c r="H42" s="1279"/>
      <c r="I42" s="1279"/>
      <c r="J42" s="1279"/>
      <c r="K42" s="1279"/>
      <c r="L42" s="1280"/>
      <c r="M42" s="1281"/>
      <c r="N42" s="1281"/>
      <c r="O42" s="1281"/>
      <c r="P42" s="1369"/>
      <c r="Q42" s="288"/>
      <c r="R42" s="289"/>
      <c r="S42" s="1373" t="str">
        <f>INDEX(PT_DIFFERENTIATION_NUM_TER,MATCH(B42,PT_DIFFERENTIATION_TER_ID,0))</f>
        <v>.</v>
      </c>
      <c r="T42" s="245" t="s">
        <v>396</v>
      </c>
      <c r="U42" s="237"/>
      <c r="V42" s="2557"/>
      <c r="W42" s="2558"/>
      <c r="X42" s="2558"/>
      <c r="Y42" s="2558"/>
      <c r="Z42" s="2558"/>
      <c r="AA42" s="2558"/>
      <c r="AB42" s="2559"/>
      <c r="AC42" s="2557" t="str">
        <f>INDEX(PT_DIFFERENTIATION_TER,MATCH(B42,PT_DIFFERENTIATION_TER_ID,0))</f>
        <v/>
      </c>
      <c r="AD42" s="2558"/>
      <c r="AE42" s="2558"/>
      <c r="AF42" s="2558"/>
      <c r="AG42" s="2558"/>
      <c r="AH42" s="2558"/>
      <c r="AI42" s="2558"/>
      <c r="AJ42" s="2559"/>
      <c r="AK42" s="1174" t="s">
        <v>397</v>
      </c>
      <c r="AM42" s="436"/>
      <c r="AN42" s="436" t="str">
        <f t="shared" si="1"/>
        <v>Территория действия тарифа</v>
      </c>
      <c r="AO42" s="436"/>
      <c r="AP42" s="436"/>
      <c r="AQ42" s="1071">
        <v>23</v>
      </c>
    </row>
    <row r="43" spans="1:43" ht="24" customHeight="1">
      <c r="A43" s="1279" t="s">
        <v>240</v>
      </c>
      <c r="B43" s="1279" t="s">
        <v>241</v>
      </c>
      <c r="C43" s="1279" t="s">
        <v>242</v>
      </c>
      <c r="D43" s="1279"/>
      <c r="E43" s="2564"/>
      <c r="F43" s="2564"/>
      <c r="G43" s="2563">
        <v>1</v>
      </c>
      <c r="H43" s="1279"/>
      <c r="I43" s="1279"/>
      <c r="J43" s="1279"/>
      <c r="K43" s="1279"/>
      <c r="L43" s="1280"/>
      <c r="M43" s="1281"/>
      <c r="N43" s="1281"/>
      <c r="O43" s="1281"/>
      <c r="P43" s="290"/>
      <c r="Q43" s="288"/>
      <c r="R43" s="289"/>
      <c r="S43" s="1373" t="str">
        <f>INDEX(PT_DIFFERENTIATION_NUM_CS,MATCH(C43,PT_DIFFERENTIATION_CS_ID,0))</f>
        <v>..</v>
      </c>
      <c r="T43" s="246" t="s">
        <v>480</v>
      </c>
      <c r="U43" s="237"/>
      <c r="V43" s="2557"/>
      <c r="W43" s="2558"/>
      <c r="X43" s="2558"/>
      <c r="Y43" s="2558"/>
      <c r="Z43" s="2558"/>
      <c r="AA43" s="2558"/>
      <c r="AB43" s="2559"/>
      <c r="AC43" s="2557" t="str">
        <f>INDEX(PT_DIFFERENTIATION_CS,MATCH(C43,PT_DIFFERENTIATION_CS_ID,0))</f>
        <v/>
      </c>
      <c r="AD43" s="2558"/>
      <c r="AE43" s="2558"/>
      <c r="AF43" s="2558"/>
      <c r="AG43" s="2558"/>
      <c r="AH43" s="2558"/>
      <c r="AI43" s="2558"/>
      <c r="AJ43" s="2559"/>
      <c r="AK43" s="1174" t="s">
        <v>481</v>
      </c>
      <c r="AM43" s="436"/>
      <c r="AN43" s="436" t="str">
        <f t="shared" si="1"/>
        <v>Наименование централизованной системы холодного водоснабжения</v>
      </c>
      <c r="AO43" s="436"/>
      <c r="AP43" s="436"/>
      <c r="AQ43" s="1071">
        <v>23</v>
      </c>
    </row>
    <row r="44" spans="1:43" ht="24" customHeight="1">
      <c r="A44" s="1279" t="s">
        <v>240</v>
      </c>
      <c r="B44" s="1279" t="s">
        <v>241</v>
      </c>
      <c r="C44" s="1279" t="s">
        <v>242</v>
      </c>
      <c r="D44" s="1279" t="s">
        <v>497</v>
      </c>
      <c r="E44" s="2564"/>
      <c r="F44" s="2564"/>
      <c r="G44" s="2564"/>
      <c r="H44" s="2564"/>
      <c r="I44" s="2565" t="str">
        <f>S43&amp;".1"</f>
        <v>...1</v>
      </c>
      <c r="J44" s="1279"/>
      <c r="K44" s="1279"/>
      <c r="L44" s="1280"/>
      <c r="P44" s="2567">
        <v>1</v>
      </c>
      <c r="Q44" s="1366"/>
      <c r="R44" s="292"/>
      <c r="S44" s="1373" t="str">
        <f>$I44</f>
        <v>...1</v>
      </c>
      <c r="T44" s="222" t="s">
        <v>482</v>
      </c>
      <c r="U44" s="237"/>
      <c r="V44" s="2631"/>
      <c r="W44" s="2632"/>
      <c r="X44" s="2632"/>
      <c r="Y44" s="2632"/>
      <c r="Z44" s="2632"/>
      <c r="AA44" s="2632"/>
      <c r="AB44" s="2633"/>
      <c r="AC44" s="2634"/>
      <c r="AD44" s="2635"/>
      <c r="AE44" s="2635"/>
      <c r="AF44" s="2635"/>
      <c r="AG44" s="2635"/>
      <c r="AH44" s="2635"/>
      <c r="AI44" s="2635"/>
      <c r="AJ44" s="2636"/>
      <c r="AK44" s="1174" t="s">
        <v>483</v>
      </c>
      <c r="AM44" s="436"/>
      <c r="AN44" s="436" t="str">
        <f t="shared" si="1"/>
        <v>Наименование признака дифференциации</v>
      </c>
      <c r="AO44" s="436"/>
      <c r="AP44" s="436"/>
      <c r="AQ44" s="1071">
        <v>23</v>
      </c>
    </row>
    <row r="45" spans="1:43" ht="24" customHeight="1">
      <c r="A45" s="1279" t="s">
        <v>240</v>
      </c>
      <c r="B45" s="1279" t="s">
        <v>241</v>
      </c>
      <c r="C45" s="1279" t="s">
        <v>242</v>
      </c>
      <c r="D45" s="1279" t="s">
        <v>497</v>
      </c>
      <c r="E45" s="2564"/>
      <c r="F45" s="2564"/>
      <c r="G45" s="2564"/>
      <c r="H45" s="2564"/>
      <c r="I45" s="2566"/>
      <c r="J45" s="2565" t="str">
        <f>I44&amp;".1"</f>
        <v>...1.1</v>
      </c>
      <c r="K45" s="1279"/>
      <c r="L45" s="1280" t="s">
        <v>405</v>
      </c>
      <c r="P45" s="2567"/>
      <c r="Q45" s="2567">
        <v>1</v>
      </c>
      <c r="R45" s="293"/>
      <c r="S45" s="1373" t="str">
        <f>$J45</f>
        <v>...1.1</v>
      </c>
      <c r="T45" s="223" t="s">
        <v>406</v>
      </c>
      <c r="U45" s="237"/>
      <c r="V45" s="2551"/>
      <c r="W45" s="2552"/>
      <c r="X45" s="2552"/>
      <c r="Y45" s="2552"/>
      <c r="Z45" s="2552"/>
      <c r="AA45" s="2552"/>
      <c r="AB45" s="2553"/>
      <c r="AC45" s="2551"/>
      <c r="AD45" s="2552"/>
      <c r="AE45" s="2552"/>
      <c r="AF45" s="2552"/>
      <c r="AG45" s="2552"/>
      <c r="AH45" s="2552"/>
      <c r="AI45" s="2552"/>
      <c r="AJ45" s="2553"/>
      <c r="AK45" s="1223" t="s">
        <v>484</v>
      </c>
      <c r="AM45" s="436"/>
      <c r="AN45" s="436" t="str">
        <f t="shared" si="1"/>
        <v>Группа потребителей</v>
      </c>
      <c r="AO45" s="436"/>
      <c r="AP45" s="436"/>
      <c r="AQ45" s="1071">
        <v>23</v>
      </c>
    </row>
    <row r="46" spans="1:43" ht="24" customHeight="1">
      <c r="A46" s="1279" t="s">
        <v>240</v>
      </c>
      <c r="B46" s="1279" t="s">
        <v>241</v>
      </c>
      <c r="C46" s="1279" t="s">
        <v>242</v>
      </c>
      <c r="D46" s="1279" t="s">
        <v>497</v>
      </c>
      <c r="E46" s="2564"/>
      <c r="F46" s="2564"/>
      <c r="G46" s="2564"/>
      <c r="H46" s="2564"/>
      <c r="I46" s="2566"/>
      <c r="J46" s="2566"/>
      <c r="K46" s="2565" t="str">
        <f>J45&amp;".1"</f>
        <v>...1.1.1</v>
      </c>
      <c r="L46" s="1280"/>
      <c r="P46" s="2567"/>
      <c r="Q46" s="2567"/>
      <c r="R46" s="293">
        <v>1</v>
      </c>
      <c r="S46" s="1373" t="str">
        <f>$K46</f>
        <v>...1.1.1</v>
      </c>
      <c r="T46" s="1353"/>
      <c r="U46" s="237"/>
      <c r="V46" s="687"/>
      <c r="W46" s="687"/>
      <c r="X46" s="1173"/>
      <c r="Y46" s="2568"/>
      <c r="Z46" s="2445" t="s">
        <v>62</v>
      </c>
      <c r="AA46" s="2568"/>
      <c r="AB46" s="2445" t="s">
        <v>62</v>
      </c>
      <c r="AC46" s="687"/>
      <c r="AD46" s="687"/>
      <c r="AE46" s="1173"/>
      <c r="AF46" s="2568"/>
      <c r="AG46" s="2445" t="s">
        <v>62</v>
      </c>
      <c r="AH46" s="2570"/>
      <c r="AI46" s="2445" t="s">
        <v>62</v>
      </c>
      <c r="AJ46" s="1354"/>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240</v>
      </c>
      <c r="B47" s="1279" t="s">
        <v>241</v>
      </c>
      <c r="C47" s="1279" t="s">
        <v>242</v>
      </c>
      <c r="D47" s="1279" t="s">
        <v>497</v>
      </c>
      <c r="E47" s="2564"/>
      <c r="F47" s="2564"/>
      <c r="G47" s="2564"/>
      <c r="H47" s="2564"/>
      <c r="I47" s="2566"/>
      <c r="J47" s="2566"/>
      <c r="K47" s="2565"/>
      <c r="L47" s="1280"/>
      <c r="P47" s="2567"/>
      <c r="Q47" s="2567"/>
      <c r="R47" s="293"/>
      <c r="S47" s="1372"/>
      <c r="T47" s="237"/>
      <c r="U47" s="237"/>
      <c r="V47" s="262"/>
      <c r="W47" s="262"/>
      <c r="X47" s="265" t="str">
        <f>Y46&amp;"-"&amp;AA46</f>
        <v>-</v>
      </c>
      <c r="Y47" s="2569"/>
      <c r="Z47" s="2445"/>
      <c r="AA47" s="2569"/>
      <c r="AB47" s="2445"/>
      <c r="AC47" s="262"/>
      <c r="AD47" s="262"/>
      <c r="AE47" s="265" t="str">
        <f>AF46&amp;"-"&amp;AH46</f>
        <v>-</v>
      </c>
      <c r="AF47" s="2569"/>
      <c r="AG47" s="2445"/>
      <c r="AH47" s="2571"/>
      <c r="AI47" s="2445"/>
      <c r="AJ47" s="1355"/>
      <c r="AK47" s="2637"/>
      <c r="AM47" s="436"/>
      <c r="AN47" s="436" t="str">
        <f t="shared" si="1"/>
        <v/>
      </c>
      <c r="AO47" s="436"/>
      <c r="AP47" s="436"/>
      <c r="AQ47" s="1071">
        <v>0</v>
      </c>
    </row>
    <row r="48" spans="1:43" ht="21" customHeight="1">
      <c r="A48" s="1279" t="s">
        <v>240</v>
      </c>
      <c r="B48" s="1279" t="s">
        <v>241</v>
      </c>
      <c r="C48" s="1279" t="s">
        <v>242</v>
      </c>
      <c r="D48" s="1279" t="s">
        <v>497</v>
      </c>
      <c r="E48" s="2564"/>
      <c r="F48" s="2564"/>
      <c r="G48" s="2564"/>
      <c r="H48" s="2564"/>
      <c r="I48" s="2566"/>
      <c r="J48" s="2565"/>
      <c r="K48" s="1279"/>
      <c r="L48" s="1280"/>
      <c r="P48" s="2567"/>
      <c r="Q48" s="2567"/>
      <c r="R48" s="292"/>
      <c r="S48" s="1194"/>
      <c r="T48" s="224" t="s">
        <v>485</v>
      </c>
      <c r="U48" s="303"/>
      <c r="V48" s="303"/>
      <c r="W48" s="303"/>
      <c r="X48" s="303"/>
      <c r="Y48" s="303"/>
      <c r="Z48" s="303"/>
      <c r="AA48" s="303"/>
      <c r="AB48" s="303"/>
      <c r="AC48" s="303"/>
      <c r="AD48" s="303"/>
      <c r="AE48" s="303"/>
      <c r="AF48" s="303"/>
      <c r="AG48" s="303"/>
      <c r="AH48" s="303"/>
      <c r="AI48" s="303"/>
      <c r="AJ48" s="303"/>
      <c r="AK48" s="1174" t="s">
        <v>486</v>
      </c>
      <c r="AM48" s="436"/>
      <c r="AN48" s="436" t="str">
        <f t="shared" si="1"/>
        <v>Добавить значение признака дифференциации</v>
      </c>
      <c r="AO48" s="436"/>
      <c r="AP48" s="436"/>
      <c r="AQ48" s="1071">
        <v>20</v>
      </c>
    </row>
    <row r="49" spans="1:43" ht="21.95" customHeight="1">
      <c r="A49" s="1279" t="s">
        <v>240</v>
      </c>
      <c r="B49" s="1279" t="s">
        <v>241</v>
      </c>
      <c r="C49" s="1279" t="s">
        <v>242</v>
      </c>
      <c r="D49" s="1279" t="s">
        <v>497</v>
      </c>
      <c r="E49" s="2564"/>
      <c r="F49" s="2564"/>
      <c r="G49" s="2564"/>
      <c r="H49" s="2564"/>
      <c r="I49" s="2565"/>
      <c r="J49" s="1279"/>
      <c r="K49" s="1279"/>
      <c r="L49" s="1280"/>
      <c r="P49" s="2567"/>
      <c r="Q49" s="1366"/>
      <c r="R49" s="292"/>
      <c r="S49" s="1194"/>
      <c r="T49" s="301" t="s">
        <v>411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240</v>
      </c>
      <c r="B50" s="1279" t="s">
        <v>241</v>
      </c>
      <c r="C50" s="1279" t="s">
        <v>242</v>
      </c>
      <c r="D50" s="1279" t="s">
        <v>497</v>
      </c>
      <c r="E50" s="2564"/>
      <c r="F50" s="2564"/>
      <c r="G50" s="2564"/>
      <c r="H50" s="2563"/>
      <c r="I50" s="1279"/>
      <c r="J50" s="1279"/>
      <c r="K50" s="1279"/>
      <c r="L50" s="1280"/>
      <c r="M50" s="1281"/>
      <c r="N50" s="1281"/>
      <c r="O50" s="473"/>
      <c r="P50" s="296"/>
      <c r="Q50" s="311"/>
      <c r="R50" s="291"/>
      <c r="S50" s="119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344" customFormat="1" ht="0" hidden="1" customHeight="1">
      <c r="A51" s="1259" t="s">
        <v>240</v>
      </c>
      <c r="B51" s="1259" t="s">
        <v>241</v>
      </c>
      <c r="C51" s="1230"/>
      <c r="D51" s="1230"/>
      <c r="E51" s="2564"/>
      <c r="F51" s="2563"/>
      <c r="G51" s="1230"/>
      <c r="H51" s="1230"/>
      <c r="I51" s="1230"/>
      <c r="J51" s="1230"/>
      <c r="K51" s="1230"/>
      <c r="L51" s="1374"/>
      <c r="M51" s="1237"/>
      <c r="N51" s="1237"/>
      <c r="P51" s="1232"/>
      <c r="Q51" s="1233"/>
      <c r="R51" s="1232"/>
      <c r="S51" s="1238"/>
      <c r="T51" s="1241" t="s">
        <v>414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344" customFormat="1" ht="0" hidden="1" customHeight="1">
      <c r="A52" s="1259" t="s">
        <v>240</v>
      </c>
      <c r="B52" s="1259"/>
      <c r="C52" s="1259"/>
      <c r="D52" s="1259"/>
      <c r="E52" s="2563"/>
      <c r="F52" s="1259"/>
      <c r="G52" s="1259"/>
      <c r="H52" s="1259"/>
      <c r="I52" s="1259"/>
      <c r="J52" s="1259"/>
      <c r="K52" s="1259"/>
      <c r="L52" s="1262"/>
      <c r="M52" s="1237"/>
      <c r="N52" s="1237"/>
      <c r="O52" s="454"/>
      <c r="P52" s="316"/>
      <c r="Q52" s="1260"/>
      <c r="R52" s="316"/>
      <c r="S52" s="1238"/>
      <c r="T52" s="1241" t="s">
        <v>415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344" customFormat="1" ht="0" hidden="1" customHeight="1">
      <c r="A53" s="1230"/>
      <c r="B53" s="1230"/>
      <c r="C53" s="1230"/>
      <c r="D53" s="1230"/>
      <c r="E53" s="1259"/>
      <c r="F53" s="1230"/>
      <c r="G53" s="1230"/>
      <c r="H53" s="1230"/>
      <c r="I53" s="1230"/>
      <c r="J53" s="1230"/>
      <c r="K53" s="1230"/>
      <c r="L53" s="1374"/>
      <c r="M53" s="1237"/>
      <c r="N53" s="1237"/>
      <c r="P53" s="1232"/>
      <c r="Q53" s="1233"/>
      <c r="R53" s="1232"/>
      <c r="S53" s="1238"/>
      <c r="T53" s="1241" t="s">
        <v>447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62"/>
      <c r="U55" s="2562"/>
      <c r="V55" s="2562"/>
      <c r="W55" s="2562"/>
      <c r="X55" s="2562"/>
      <c r="Y55" s="2562"/>
      <c r="Z55" s="2562"/>
      <c r="AA55" s="2562"/>
      <c r="AB55" s="2562"/>
      <c r="AC55" s="2562"/>
      <c r="AD55" s="2562"/>
      <c r="AE55" s="2562"/>
      <c r="AF55" s="2562"/>
      <c r="AG55" s="2562"/>
      <c r="AH55" s="2562"/>
      <c r="AI55" s="2562"/>
      <c r="AJ55" s="2562"/>
      <c r="AK55" s="2562"/>
      <c r="AQ55" s="1071">
        <v>14</v>
      </c>
    </row>
    <row r="56" spans="1:43" ht="14.65" customHeight="1">
      <c r="O56" s="473"/>
      <c r="AQ56" s="1071">
        <v>14</v>
      </c>
    </row>
    <row r="57" spans="1:43" ht="14.65" customHeight="1">
      <c r="O57" s="473"/>
      <c r="S57" s="1169"/>
      <c r="T57" s="2562"/>
      <c r="U57" s="2562"/>
      <c r="V57" s="2562"/>
      <c r="W57" s="2562"/>
      <c r="X57" s="2562"/>
      <c r="Y57" s="2562"/>
      <c r="Z57" s="2562"/>
      <c r="AA57" s="2562"/>
      <c r="AB57" s="2562"/>
      <c r="AC57" s="2562"/>
      <c r="AD57" s="2562"/>
      <c r="AE57" s="2562"/>
      <c r="AF57" s="2562"/>
      <c r="AG57" s="2562"/>
      <c r="AH57" s="2562"/>
      <c r="AI57" s="2562"/>
      <c r="AJ57" s="2562"/>
      <c r="AK57" s="2562"/>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63">
        <v>0</v>
      </c>
      <c r="M58" s="1278">
        <v>0</v>
      </c>
      <c r="N58" s="1278">
        <v>0</v>
      </c>
      <c r="O58" s="1278">
        <v>0</v>
      </c>
      <c r="P58" s="1362">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360" hidden="1" customWidth="1"/>
    <col min="4" max="4" width="11.85546875" style="2360" hidden="1" customWidth="1"/>
    <col min="5" max="11" width="10.140625" style="2360" hidden="1" customWidth="1"/>
    <col min="12" max="12" width="10.140625" style="2388" hidden="1" customWidth="1"/>
    <col min="13" max="15" width="10.140625" style="2392" hidden="1" customWidth="1"/>
    <col min="16" max="16" width="3" style="2336" customWidth="1"/>
    <col min="17" max="17" width="3" style="2339" customWidth="1"/>
    <col min="18" max="18" width="3" style="2359" customWidth="1"/>
    <col min="19" max="19" width="12" style="2387" customWidth="1"/>
    <col min="20" max="20" width="31" style="2360" customWidth="1"/>
    <col min="21" max="21" width="0.140625" style="2360" customWidth="1"/>
    <col min="22" max="23" width="21.7109375" style="2360" hidden="1" customWidth="1"/>
    <col min="24" max="24" width="11.7109375" style="2360" hidden="1" customWidth="1"/>
    <col min="25" max="25" width="3.7109375" style="2360" hidden="1" customWidth="1"/>
    <col min="26" max="26" width="11.7109375" style="2360" hidden="1" customWidth="1"/>
    <col min="27" max="27" width="8.5703125" style="2360" hidden="1" customWidth="1"/>
    <col min="28" max="28" width="27" style="2360" customWidth="1"/>
    <col min="29" max="29" width="24.5703125" style="2360" customWidth="1"/>
    <col min="30" max="31" width="21" style="2360" customWidth="1"/>
    <col min="32" max="32" width="11" style="2360" customWidth="1"/>
    <col min="33" max="33" width="3.7109375" style="2360" customWidth="1"/>
    <col min="34" max="34" width="11" style="2360" customWidth="1"/>
    <col min="35" max="35" width="8.5703125" style="2360" hidden="1" customWidth="1"/>
    <col min="36" max="36" width="4" style="2360" customWidth="1"/>
    <col min="37" max="37" width="115" style="2360" customWidth="1"/>
    <col min="38" max="42" width="10" style="2344" customWidth="1"/>
    <col min="43" max="43" width="10.5703125" style="2360" hidden="1"/>
  </cols>
  <sheetData>
    <row r="1" spans="1:43" ht="0.75" hidden="1" customHeight="1">
      <c r="AQ1" s="1547" t="s">
        <v>14</v>
      </c>
    </row>
    <row r="2" spans="1:43" ht="21" hidden="1" customHeight="1">
      <c r="A2" s="1183"/>
      <c r="B2" s="1183"/>
      <c r="C2" s="1183"/>
      <c r="D2" s="1183"/>
      <c r="E2" s="2589">
        <v>1</v>
      </c>
      <c r="F2" s="1183"/>
      <c r="G2" s="1183"/>
      <c r="H2" s="1183"/>
      <c r="I2" s="1183"/>
      <c r="J2" s="1183"/>
      <c r="K2" s="1183"/>
      <c r="L2" s="1226"/>
      <c r="M2" s="1526"/>
      <c r="N2" s="1526"/>
      <c r="O2" s="1526"/>
      <c r="P2" s="1325"/>
      <c r="Q2" s="799"/>
      <c r="R2" s="291"/>
      <c r="S2" s="1867" t="e">
        <f>INDEX(PT_DIFFERENTIATION_NUM_NTAR,MATCH(A2,PT_DIFFERENTIATION_NTAR_ID,0))</f>
        <v>#N/A</v>
      </c>
      <c r="T2" s="1441" t="s">
        <v>124</v>
      </c>
      <c r="U2" s="237"/>
      <c r="V2" s="2558"/>
      <c r="W2" s="2558"/>
      <c r="X2" s="2558"/>
      <c r="Y2" s="2558"/>
      <c r="Z2" s="2558"/>
      <c r="AA2" s="2559"/>
      <c r="AB2" s="1861"/>
      <c r="AC2" s="2558" t="e">
        <f>INDEX(PT_DIFFERENTIATION_NTAR,MATCH(A2,PT_DIFFERENTIATION_NTAR_ID,0))</f>
        <v>#N/A</v>
      </c>
      <c r="AD2" s="2558"/>
      <c r="AE2" s="2558"/>
      <c r="AF2" s="2558"/>
      <c r="AG2" s="2558"/>
      <c r="AH2" s="2558"/>
      <c r="AI2" s="2558"/>
      <c r="AJ2" s="2559"/>
      <c r="AK2" s="1174" t="s">
        <v>395</v>
      </c>
      <c r="AM2" s="1540"/>
      <c r="AN2" s="1540" t="str">
        <f t="shared" ref="AN2:AN14" si="0">IF(T2="","",T2)</f>
        <v>Наименование тарифа</v>
      </c>
      <c r="AO2" s="1540"/>
      <c r="AP2" s="1540"/>
      <c r="AQ2" s="1547">
        <v>0</v>
      </c>
    </row>
    <row r="3" spans="1:43" ht="21" hidden="1" customHeight="1">
      <c r="A3" s="1183"/>
      <c r="B3" s="1183"/>
      <c r="C3" s="1183"/>
      <c r="D3" s="1183"/>
      <c r="E3" s="2590"/>
      <c r="F3" s="2589">
        <v>1</v>
      </c>
      <c r="G3" s="1183"/>
      <c r="H3" s="1183"/>
      <c r="I3" s="1183"/>
      <c r="J3" s="1183"/>
      <c r="K3" s="1183"/>
      <c r="L3" s="1226"/>
      <c r="M3" s="1526"/>
      <c r="N3" s="1526"/>
      <c r="O3" s="1526"/>
      <c r="P3" s="1878"/>
      <c r="Q3" s="1327"/>
      <c r="R3" s="289"/>
      <c r="S3" s="1867" t="e">
        <f>INDEX(PT_DIFFERENTIATION_NUM_TER,MATCH(B3,PT_DIFFERENTIATION_TER_ID,0))</f>
        <v>#N/A</v>
      </c>
      <c r="T3" s="1438" t="s">
        <v>396</v>
      </c>
      <c r="U3" s="237"/>
      <c r="V3" s="2558"/>
      <c r="W3" s="2558"/>
      <c r="X3" s="2558"/>
      <c r="Y3" s="2558"/>
      <c r="Z3" s="2558"/>
      <c r="AA3" s="2559"/>
      <c r="AB3" s="1861"/>
      <c r="AC3" s="2558" t="e">
        <f>INDEX(PT_DIFFERENTIATION_TER,MATCH(B3,PT_DIFFERENTIATION_TER_ID,0))</f>
        <v>#N/A</v>
      </c>
      <c r="AD3" s="2558"/>
      <c r="AE3" s="2558"/>
      <c r="AF3" s="2558"/>
      <c r="AG3" s="2558"/>
      <c r="AH3" s="2558"/>
      <c r="AI3" s="2558"/>
      <c r="AJ3" s="2559"/>
      <c r="AK3" s="1174" t="s">
        <v>397</v>
      </c>
      <c r="AM3" s="1540"/>
      <c r="AN3" s="1540" t="str">
        <f t="shared" si="0"/>
        <v>Территория действия тарифа</v>
      </c>
      <c r="AO3" s="1540"/>
      <c r="AP3" s="1540"/>
      <c r="AQ3" s="1547">
        <v>0</v>
      </c>
    </row>
    <row r="4" spans="1:43" ht="22.5" hidden="1" customHeight="1">
      <c r="A4" s="1183"/>
      <c r="B4" s="1183"/>
      <c r="C4" s="1183"/>
      <c r="D4" s="1183"/>
      <c r="E4" s="2590"/>
      <c r="F4" s="2590"/>
      <c r="G4" s="2589">
        <v>1</v>
      </c>
      <c r="H4" s="1183"/>
      <c r="I4" s="1183"/>
      <c r="J4" s="1183"/>
      <c r="K4" s="1183"/>
      <c r="L4" s="1226"/>
      <c r="M4" s="1526"/>
      <c r="N4" s="1526"/>
      <c r="O4" s="1526"/>
      <c r="P4" s="1328"/>
      <c r="Q4" s="1327"/>
      <c r="R4" s="289"/>
      <c r="S4" s="1867" t="e">
        <f>INDEX(PT_DIFFERENTIATION_NUM_CS,MATCH(C4,PT_DIFFERENTIATION_CS_ID,0))</f>
        <v>#N/A</v>
      </c>
      <c r="T4" s="246" t="s">
        <v>398</v>
      </c>
      <c r="U4" s="237"/>
      <c r="V4" s="2558"/>
      <c r="W4" s="2558"/>
      <c r="X4" s="2558"/>
      <c r="Y4" s="2558"/>
      <c r="Z4" s="2558"/>
      <c r="AA4" s="2559"/>
      <c r="AB4" s="1861"/>
      <c r="AC4" s="2558" t="e">
        <f>INDEX(PT_DIFFERENTIATION_CS,MATCH(C4,PT_DIFFERENTIATION_CS_ID,0))</f>
        <v>#N/A</v>
      </c>
      <c r="AD4" s="2558"/>
      <c r="AE4" s="2558"/>
      <c r="AF4" s="2558"/>
      <c r="AG4" s="2558"/>
      <c r="AH4" s="2558"/>
      <c r="AI4" s="2558"/>
      <c r="AJ4" s="2559"/>
      <c r="AK4" s="1174" t="s">
        <v>399</v>
      </c>
      <c r="AM4" s="1540"/>
      <c r="AN4" s="1540" t="str">
        <f t="shared" si="0"/>
        <v xml:space="preserve">Наименование системы теплоснабжения </v>
      </c>
      <c r="AO4" s="1540"/>
      <c r="AP4" s="1540"/>
      <c r="AQ4" s="1547">
        <v>0</v>
      </c>
    </row>
    <row r="5" spans="1:43" ht="21" hidden="1" customHeight="1">
      <c r="A5" s="1183"/>
      <c r="B5" s="1183"/>
      <c r="C5" s="1183"/>
      <c r="D5" s="1183"/>
      <c r="E5" s="2590"/>
      <c r="F5" s="2590"/>
      <c r="G5" s="2590"/>
      <c r="H5" s="2589">
        <v>1</v>
      </c>
      <c r="I5" s="1183"/>
      <c r="J5" s="1183"/>
      <c r="K5" s="1183"/>
      <c r="L5" s="1226"/>
      <c r="M5" s="1526"/>
      <c r="N5" s="1526"/>
      <c r="O5" s="1526"/>
      <c r="P5" s="1328"/>
      <c r="Q5" s="1327"/>
      <c r="R5" s="289"/>
      <c r="S5" s="1867" t="e">
        <f>INDEX(PT_DIFFERENTIATION_NUM_IST_TE,MATCH(D5,PT_DIFFERENTIATION_IST_TE_ID,0))</f>
        <v>#N/A</v>
      </c>
      <c r="T5" s="247" t="s">
        <v>400</v>
      </c>
      <c r="U5" s="237"/>
      <c r="V5" s="2558"/>
      <c r="W5" s="2558"/>
      <c r="X5" s="2558"/>
      <c r="Y5" s="2558"/>
      <c r="Z5" s="2558"/>
      <c r="AA5" s="2559"/>
      <c r="AB5" s="1861"/>
      <c r="AC5" s="2558" t="e">
        <f>INDEX(PT_DIFFERENTIATION_IST_TE,MATCH(D5,PT_DIFFERENTIATION_IST_TE_ID,0))</f>
        <v>#N/A</v>
      </c>
      <c r="AD5" s="2558"/>
      <c r="AE5" s="2558"/>
      <c r="AF5" s="2558"/>
      <c r="AG5" s="2558"/>
      <c r="AH5" s="2558"/>
      <c r="AI5" s="2558"/>
      <c r="AJ5" s="2559"/>
      <c r="AK5" s="1174" t="s">
        <v>401</v>
      </c>
      <c r="AM5" s="1540"/>
      <c r="AN5" s="1540" t="str">
        <f t="shared" si="0"/>
        <v xml:space="preserve">Источник тепловой энергии  </v>
      </c>
      <c r="AO5" s="1540"/>
      <c r="AP5" s="1540"/>
      <c r="AQ5" s="1547">
        <v>0</v>
      </c>
    </row>
    <row r="6" spans="1:43" s="2344" customFormat="1" ht="0.75" hidden="1" customHeight="1">
      <c r="A6" s="1291"/>
      <c r="B6" s="1291"/>
      <c r="C6" s="1291"/>
      <c r="D6" s="1291"/>
      <c r="E6" s="2590"/>
      <c r="F6" s="2590"/>
      <c r="G6" s="2590"/>
      <c r="H6" s="2590"/>
      <c r="I6" s="2435" t="e">
        <f>S5&amp;".1"</f>
        <v>#N/A</v>
      </c>
      <c r="J6" s="1291"/>
      <c r="K6" s="1291"/>
      <c r="L6" s="1297" t="s">
        <v>402</v>
      </c>
      <c r="M6" s="1162"/>
      <c r="N6" s="1162"/>
      <c r="O6" s="1162"/>
      <c r="P6" s="2567">
        <v>1</v>
      </c>
      <c r="Q6" s="1863"/>
      <c r="R6" s="292"/>
      <c r="S6" s="964"/>
      <c r="T6" s="1299"/>
      <c r="U6" s="1300"/>
      <c r="V6" s="2595"/>
      <c r="W6" s="2595"/>
      <c r="X6" s="2595"/>
      <c r="Y6" s="2595"/>
      <c r="Z6" s="2595"/>
      <c r="AA6" s="2596"/>
      <c r="AB6" s="1869"/>
      <c r="AC6" s="2595"/>
      <c r="AD6" s="2595"/>
      <c r="AE6" s="2595"/>
      <c r="AF6" s="2595"/>
      <c r="AG6" s="2595"/>
      <c r="AH6" s="2595"/>
      <c r="AI6" s="2595"/>
      <c r="AJ6" s="2596"/>
      <c r="AK6" s="1301"/>
      <c r="AM6" s="1540"/>
      <c r="AN6" s="1540" t="str">
        <f t="shared" si="0"/>
        <v/>
      </c>
      <c r="AO6" s="1540"/>
      <c r="AP6" s="1540"/>
      <c r="AQ6" s="1552">
        <v>0</v>
      </c>
    </row>
    <row r="7" spans="1:43" s="2344" customFormat="1" ht="0.75" hidden="1" customHeight="1">
      <c r="A7" s="1291"/>
      <c r="B7" s="1291"/>
      <c r="C7" s="1291"/>
      <c r="D7" s="1291"/>
      <c r="E7" s="2590"/>
      <c r="F7" s="2590"/>
      <c r="G7" s="2590"/>
      <c r="H7" s="2590"/>
      <c r="I7" s="2417"/>
      <c r="J7" s="2435" t="e">
        <f>S5&amp;".1"</f>
        <v>#N/A</v>
      </c>
      <c r="K7" s="1291"/>
      <c r="L7" s="1297"/>
      <c r="M7" s="1162"/>
      <c r="N7" s="1162"/>
      <c r="O7" s="1162"/>
      <c r="P7" s="2567"/>
      <c r="Q7" s="2567">
        <v>1</v>
      </c>
      <c r="R7" s="293"/>
      <c r="S7" s="964"/>
      <c r="T7" s="1315"/>
      <c r="U7" s="1300"/>
      <c r="V7" s="2595"/>
      <c r="W7" s="2595"/>
      <c r="X7" s="2595"/>
      <c r="Y7" s="2595"/>
      <c r="Z7" s="2595"/>
      <c r="AA7" s="2596"/>
      <c r="AB7" s="1869"/>
      <c r="AC7" s="2595"/>
      <c r="AD7" s="2595"/>
      <c r="AE7" s="2595"/>
      <c r="AF7" s="2595"/>
      <c r="AG7" s="2595"/>
      <c r="AH7" s="2595"/>
      <c r="AI7" s="2595"/>
      <c r="AJ7" s="2596"/>
      <c r="AK7" s="1301"/>
      <c r="AM7" s="1540"/>
      <c r="AN7" s="1540" t="str">
        <f t="shared" si="0"/>
        <v/>
      </c>
      <c r="AO7" s="1540"/>
      <c r="AP7" s="1540"/>
      <c r="AQ7" s="1552">
        <v>0</v>
      </c>
    </row>
    <row r="8" spans="1:43" ht="21" hidden="1" customHeight="1">
      <c r="A8" s="1183"/>
      <c r="B8" s="1183"/>
      <c r="C8" s="1183"/>
      <c r="D8" s="1183"/>
      <c r="E8" s="2590"/>
      <c r="F8" s="2590"/>
      <c r="G8" s="2590"/>
      <c r="H8" s="2590"/>
      <c r="I8" s="2417"/>
      <c r="J8" s="2417"/>
      <c r="K8" s="1900" t="e">
        <f>S5&amp;".1"</f>
        <v>#N/A</v>
      </c>
      <c r="L8" s="1226"/>
      <c r="P8" s="2567"/>
      <c r="Q8" s="2567"/>
      <c r="R8" s="1904">
        <v>1</v>
      </c>
      <c r="S8" s="1902" t="e">
        <f>$K8</f>
        <v>#N/A</v>
      </c>
      <c r="T8" s="1903"/>
      <c r="U8" s="237"/>
      <c r="V8" s="687"/>
      <c r="W8" s="1173"/>
      <c r="X8" s="1901"/>
      <c r="Y8" s="1899" t="s">
        <v>62</v>
      </c>
      <c r="Z8" s="1901"/>
      <c r="AA8" s="1899" t="s">
        <v>62</v>
      </c>
      <c r="AB8" s="1905"/>
      <c r="AC8" s="1906" t="s">
        <v>22</v>
      </c>
      <c r="AD8" s="687"/>
      <c r="AE8" s="1173"/>
      <c r="AF8" s="1864"/>
      <c r="AG8" s="1851" t="s">
        <v>62</v>
      </c>
      <c r="AH8" s="1864"/>
      <c r="AI8" s="1851" t="s">
        <v>62</v>
      </c>
      <c r="AJ8" s="1264"/>
      <c r="AK8" s="2586" t="s">
        <v>463</v>
      </c>
      <c r="AL8" s="1552" t="e">
        <f ca="1">STRCHECKDATE(#REF!)</f>
        <v>#NAME?</v>
      </c>
      <c r="AM8" s="1540"/>
      <c r="AN8" s="1540" t="str">
        <f t="shared" si="0"/>
        <v/>
      </c>
      <c r="AO8" s="1540"/>
      <c r="AP8" s="1540"/>
      <c r="AQ8" s="1547">
        <v>0</v>
      </c>
    </row>
    <row r="9" spans="1:43" ht="11.25" hidden="1" customHeight="1">
      <c r="A9" s="1183"/>
      <c r="B9" s="1183"/>
      <c r="C9" s="1183"/>
      <c r="D9" s="1183"/>
      <c r="E9" s="2590"/>
      <c r="F9" s="2590"/>
      <c r="G9" s="2590"/>
      <c r="H9" s="2590"/>
      <c r="I9" s="2417"/>
      <c r="J9" s="2435"/>
      <c r="K9" s="1183"/>
      <c r="L9" s="1226"/>
      <c r="P9" s="2567"/>
      <c r="Q9" s="2567"/>
      <c r="R9" s="292"/>
      <c r="S9" s="1194"/>
      <c r="T9" s="224" t="s">
        <v>467</v>
      </c>
      <c r="U9" s="536"/>
      <c r="V9" s="536"/>
      <c r="W9" s="536"/>
      <c r="X9" s="536"/>
      <c r="Y9" s="536"/>
      <c r="Z9" s="536"/>
      <c r="AA9" s="536"/>
      <c r="AB9" s="536"/>
      <c r="AC9" s="536"/>
      <c r="AD9" s="536"/>
      <c r="AE9" s="536"/>
      <c r="AF9" s="536"/>
      <c r="AG9" s="536"/>
      <c r="AH9" s="536"/>
      <c r="AI9" s="536"/>
      <c r="AJ9" s="261"/>
      <c r="AK9" s="2588"/>
      <c r="AM9" s="1540"/>
      <c r="AN9" s="1540" t="str">
        <f t="shared" si="0"/>
        <v>Добавить строку</v>
      </c>
      <c r="AO9" s="1540"/>
      <c r="AP9" s="1540"/>
      <c r="AQ9" s="1547">
        <v>0</v>
      </c>
    </row>
    <row r="10" spans="1:43" s="2344" customFormat="1" ht="0.75" hidden="1" customHeight="1">
      <c r="A10" s="1291"/>
      <c r="B10" s="1291"/>
      <c r="C10" s="1291"/>
      <c r="D10" s="1291"/>
      <c r="E10" s="2590"/>
      <c r="F10" s="2590"/>
      <c r="G10" s="2590"/>
      <c r="H10" s="2590"/>
      <c r="I10" s="2435"/>
      <c r="J10" s="1291"/>
      <c r="K10" s="1291"/>
      <c r="L10" s="1297"/>
      <c r="M10" s="1162"/>
      <c r="N10" s="1162"/>
      <c r="O10" s="1162"/>
      <c r="P10" s="2567"/>
      <c r="Q10" s="1863"/>
      <c r="R10" s="292"/>
      <c r="S10" s="1302"/>
      <c r="T10" s="1303"/>
      <c r="U10" s="1304"/>
      <c r="V10" s="1304"/>
      <c r="W10" s="1304"/>
      <c r="X10" s="1304"/>
      <c r="Y10" s="1304"/>
      <c r="Z10" s="1304"/>
      <c r="AA10" s="1304"/>
      <c r="AB10" s="1304"/>
      <c r="AC10" s="1304"/>
      <c r="AD10" s="1304"/>
      <c r="AE10" s="1304"/>
      <c r="AF10" s="1304"/>
      <c r="AG10" s="1304"/>
      <c r="AH10" s="1304"/>
      <c r="AI10" s="1304"/>
      <c r="AJ10" s="1304"/>
      <c r="AK10" s="1305"/>
      <c r="AM10" s="1540"/>
      <c r="AN10" s="1540" t="str">
        <f t="shared" si="0"/>
        <v/>
      </c>
      <c r="AO10" s="1540"/>
      <c r="AP10" s="1540"/>
      <c r="AQ10" s="1552">
        <v>0</v>
      </c>
    </row>
    <row r="11" spans="1:43" s="2344" customFormat="1" ht="0.75" hidden="1" customHeight="1">
      <c r="A11" s="1291"/>
      <c r="B11" s="1291"/>
      <c r="C11" s="1291"/>
      <c r="D11" s="1291"/>
      <c r="E11" s="2590"/>
      <c r="F11" s="2590"/>
      <c r="G11" s="2590"/>
      <c r="H11" s="2589"/>
      <c r="I11" s="1291"/>
      <c r="J11" s="1291"/>
      <c r="K11" s="1291"/>
      <c r="L11" s="1297"/>
      <c r="M11" s="1294"/>
      <c r="N11" s="1294"/>
      <c r="O11" s="287"/>
      <c r="P11" s="316"/>
      <c r="Q11" s="1260"/>
      <c r="R11" s="1317"/>
      <c r="S11" s="1302"/>
      <c r="T11" s="1303"/>
      <c r="U11" s="1304"/>
      <c r="V11" s="1304"/>
      <c r="W11" s="1304"/>
      <c r="X11" s="1304"/>
      <c r="Y11" s="1304"/>
      <c r="Z11" s="1304"/>
      <c r="AA11" s="1304"/>
      <c r="AB11" s="1304"/>
      <c r="AC11" s="1304"/>
      <c r="AD11" s="1304"/>
      <c r="AE11" s="1304"/>
      <c r="AF11" s="1304"/>
      <c r="AG11" s="1304"/>
      <c r="AH11" s="1304"/>
      <c r="AI11" s="1304"/>
      <c r="AJ11" s="1304"/>
      <c r="AK11" s="1305"/>
      <c r="AM11" s="1540"/>
      <c r="AN11" s="1540" t="str">
        <f t="shared" si="0"/>
        <v/>
      </c>
      <c r="AO11" s="1540"/>
      <c r="AP11" s="1540"/>
      <c r="AQ11" s="1552">
        <v>0</v>
      </c>
    </row>
    <row r="12" spans="1:43" s="2344" customFormat="1" ht="0.75" hidden="1" customHeight="1">
      <c r="A12" s="1291"/>
      <c r="B12" s="1291"/>
      <c r="C12" s="1291"/>
      <c r="D12" s="1290"/>
      <c r="E12" s="2590"/>
      <c r="F12" s="2590"/>
      <c r="G12" s="2589"/>
      <c r="H12" s="1290"/>
      <c r="I12" s="1290"/>
      <c r="J12" s="1290"/>
      <c r="K12" s="1290"/>
      <c r="L12" s="1293"/>
      <c r="M12" s="1294"/>
      <c r="N12" s="1294"/>
      <c r="O12" s="287"/>
      <c r="P12" s="1232"/>
      <c r="Q12" s="1233"/>
      <c r="R12" s="1232"/>
      <c r="S12" s="1238"/>
      <c r="T12" s="1241" t="s">
        <v>413</v>
      </c>
      <c r="U12" s="1240"/>
      <c r="V12" s="1240"/>
      <c r="W12" s="1240"/>
      <c r="X12" s="1240"/>
      <c r="Y12" s="1240"/>
      <c r="Z12" s="1240"/>
      <c r="AA12" s="1240"/>
      <c r="AB12" s="1240"/>
      <c r="AC12" s="1240"/>
      <c r="AD12" s="1240"/>
      <c r="AE12" s="1240"/>
      <c r="AF12" s="1240"/>
      <c r="AG12" s="1240"/>
      <c r="AH12" s="1240"/>
      <c r="AI12" s="1240"/>
      <c r="AJ12" s="1240"/>
      <c r="AK12" s="1240"/>
      <c r="AM12" s="1167"/>
      <c r="AN12" s="1167" t="str">
        <f t="shared" si="0"/>
        <v>Добавить источник для дифференциации</v>
      </c>
      <c r="AO12" s="1167"/>
      <c r="AP12" s="1167"/>
      <c r="AQ12" s="1558">
        <v>0</v>
      </c>
    </row>
    <row r="13" spans="1:43" s="2344" customFormat="1" ht="0.75" hidden="1" customHeight="1">
      <c r="A13" s="1291"/>
      <c r="B13" s="1291"/>
      <c r="C13" s="1290"/>
      <c r="D13" s="1290"/>
      <c r="E13" s="2590"/>
      <c r="F13" s="2589"/>
      <c r="G13" s="1290"/>
      <c r="H13" s="1290"/>
      <c r="I13" s="1290"/>
      <c r="J13" s="1290"/>
      <c r="K13" s="1290"/>
      <c r="L13" s="1293"/>
      <c r="M13" s="1295"/>
      <c r="N13" s="1295"/>
      <c r="O13" s="287"/>
      <c r="P13" s="1232"/>
      <c r="Q13" s="1233"/>
      <c r="R13" s="1232"/>
      <c r="S13" s="1238"/>
      <c r="T13" s="1241" t="s">
        <v>414</v>
      </c>
      <c r="U13" s="1240"/>
      <c r="V13" s="1240"/>
      <c r="W13" s="1240"/>
      <c r="X13" s="1240"/>
      <c r="Y13" s="1240"/>
      <c r="Z13" s="1240"/>
      <c r="AA13" s="1240"/>
      <c r="AB13" s="1240"/>
      <c r="AC13" s="1240"/>
      <c r="AD13" s="1240"/>
      <c r="AE13" s="1240"/>
      <c r="AF13" s="1240"/>
      <c r="AG13" s="1240"/>
      <c r="AH13" s="1240"/>
      <c r="AI13" s="1240"/>
      <c r="AJ13" s="1240"/>
      <c r="AK13" s="1240"/>
      <c r="AM13" s="1167"/>
      <c r="AN13" s="1167" t="str">
        <f t="shared" si="0"/>
        <v>Добавить централизованную систему для дифференциации</v>
      </c>
      <c r="AO13" s="1167"/>
      <c r="AP13" s="1167"/>
      <c r="AQ13" s="1558">
        <v>0</v>
      </c>
    </row>
    <row r="14" spans="1:43" s="2344" customFormat="1" ht="0.75" hidden="1" customHeight="1">
      <c r="A14" s="1291"/>
      <c r="B14" s="1291"/>
      <c r="C14" s="1291"/>
      <c r="D14" s="1291"/>
      <c r="E14" s="2589"/>
      <c r="F14" s="1291"/>
      <c r="G14" s="1291"/>
      <c r="H14" s="1291"/>
      <c r="I14" s="1291"/>
      <c r="J14" s="1291"/>
      <c r="K14" s="1291"/>
      <c r="L14" s="1297"/>
      <c r="M14" s="1295"/>
      <c r="N14" s="1295"/>
      <c r="O14" s="287"/>
      <c r="P14" s="316"/>
      <c r="Q14" s="1260"/>
      <c r="R14" s="316"/>
      <c r="S14" s="1238"/>
      <c r="T14" s="1241" t="s">
        <v>415</v>
      </c>
      <c r="U14" s="1240"/>
      <c r="V14" s="1240"/>
      <c r="W14" s="1240"/>
      <c r="X14" s="1240"/>
      <c r="Y14" s="1240"/>
      <c r="Z14" s="1240"/>
      <c r="AA14" s="1240"/>
      <c r="AB14" s="1240"/>
      <c r="AC14" s="1240"/>
      <c r="AD14" s="1240"/>
      <c r="AE14" s="1240"/>
      <c r="AF14" s="1240"/>
      <c r="AG14" s="1240"/>
      <c r="AH14" s="1240"/>
      <c r="AI14" s="1240"/>
      <c r="AJ14" s="1240"/>
      <c r="AK14" s="1240"/>
      <c r="AM14" s="1540"/>
      <c r="AN14" s="1540" t="str">
        <f t="shared" si="0"/>
        <v>Добавить территорию для дифференциации</v>
      </c>
      <c r="AO14" s="1540"/>
      <c r="AP14" s="1540"/>
      <c r="AQ14" s="1552">
        <v>0</v>
      </c>
    </row>
    <row r="15" spans="1:43" ht="14.25" hidden="1" customHeight="1">
      <c r="AQ15" s="1547">
        <v>0</v>
      </c>
    </row>
    <row r="16" spans="1:43" ht="14.25" hidden="1" customHeight="1">
      <c r="AC16" s="1418"/>
      <c r="AD16" s="1319"/>
      <c r="AE16" s="1320"/>
      <c r="AF16" s="1651"/>
      <c r="AG16" s="1875" t="s">
        <v>62</v>
      </c>
      <c r="AH16" s="1651"/>
      <c r="AI16" s="1875" t="s">
        <v>62</v>
      </c>
      <c r="AQ16" s="1547">
        <v>0</v>
      </c>
    </row>
    <row r="17" spans="1:43" ht="14.25" hidden="1" customHeight="1">
      <c r="AL17" s="1557"/>
      <c r="AM17" s="1557"/>
      <c r="AN17" s="1557"/>
      <c r="AO17" s="1557"/>
      <c r="AP17" s="1557"/>
      <c r="AQ17" s="1547">
        <v>0</v>
      </c>
    </row>
    <row r="18" spans="1:43" ht="14.25" hidden="1" customHeight="1">
      <c r="O18" s="1261" t="s">
        <v>416</v>
      </c>
      <c r="X18" s="1261"/>
      <c r="Z18" s="1261"/>
      <c r="AF18" s="1261"/>
      <c r="AH18" s="1261"/>
      <c r="AL18" s="1557"/>
      <c r="AM18" s="1557"/>
      <c r="AN18" s="1557"/>
      <c r="AO18" s="1557"/>
      <c r="AP18" s="1557"/>
      <c r="AQ18" s="1547">
        <v>0</v>
      </c>
    </row>
    <row r="19" spans="1:43" ht="14.25" hidden="1" customHeight="1">
      <c r="AL19" s="1557"/>
      <c r="AM19" s="1557"/>
      <c r="AN19" s="1557"/>
      <c r="AO19" s="1557"/>
      <c r="AP19" s="1557"/>
      <c r="AQ19" s="1547">
        <v>0</v>
      </c>
    </row>
    <row r="20" spans="1:43" s="2338" customFormat="1" ht="14.25" hidden="1" customHeight="1">
      <c r="A20" s="1880"/>
      <c r="B20" s="1880"/>
      <c r="C20" s="1880"/>
      <c r="D20" s="1880"/>
      <c r="E20" s="1880"/>
      <c r="F20" s="1880"/>
      <c r="G20" s="1880"/>
      <c r="H20" s="1880"/>
      <c r="I20" s="1880"/>
      <c r="J20" s="1880"/>
      <c r="K20" s="1880"/>
      <c r="L20" s="1880"/>
      <c r="M20" s="1881"/>
      <c r="N20" s="1881"/>
      <c r="O20" s="1882" t="s">
        <v>417</v>
      </c>
      <c r="P20" s="1424"/>
      <c r="Q20" s="1426"/>
      <c r="R20" s="1426"/>
      <c r="Y20" s="1423" t="s">
        <v>419</v>
      </c>
      <c r="AA20" s="1423" t="s">
        <v>420</v>
      </c>
      <c r="AC20" s="1423" t="s">
        <v>469</v>
      </c>
      <c r="AG20" s="1423" t="s">
        <v>419</v>
      </c>
      <c r="AI20" s="1423" t="s">
        <v>420</v>
      </c>
      <c r="AL20" s="1427"/>
      <c r="AM20" s="1427"/>
      <c r="AN20" s="1427"/>
      <c r="AO20" s="1427"/>
      <c r="AP20" s="1427"/>
      <c r="AQ20" s="1423">
        <v>0</v>
      </c>
    </row>
    <row r="21" spans="1:43" ht="14.25" hidden="1" customHeight="1">
      <c r="O21" s="1226"/>
      <c r="AL21" s="1557"/>
      <c r="AM21" s="1557"/>
      <c r="AN21" s="1557"/>
      <c r="AO21" s="1557"/>
      <c r="AP21" s="1557"/>
      <c r="AQ21" s="1547">
        <v>0</v>
      </c>
    </row>
    <row r="22" spans="1:43" ht="14.25" hidden="1" customHeight="1">
      <c r="O22" s="1226"/>
      <c r="AL22" s="1557"/>
      <c r="AM22" s="1557"/>
      <c r="AN22" s="1557"/>
      <c r="AO22" s="1557"/>
      <c r="AP22" s="1557"/>
      <c r="AQ22" s="1547">
        <v>0</v>
      </c>
    </row>
    <row r="23" spans="1:43" ht="14.65" customHeight="1">
      <c r="Q23" s="228"/>
      <c r="R23" s="312"/>
      <c r="S23" s="1191"/>
      <c r="T23" s="393"/>
      <c r="U23" s="393"/>
      <c r="V23" s="1551"/>
      <c r="W23" s="1551"/>
      <c r="X23" s="1551"/>
      <c r="Y23" s="1551"/>
      <c r="Z23" s="1551"/>
      <c r="AA23" s="1551"/>
      <c r="AB23" s="1551"/>
      <c r="AC23" s="1551"/>
      <c r="AD23" s="1551"/>
      <c r="AE23" s="1551"/>
      <c r="AF23" s="1551"/>
      <c r="AG23" s="1551"/>
      <c r="AH23" s="1551"/>
      <c r="AI23" s="1551"/>
      <c r="AQ23" s="1547">
        <v>14</v>
      </c>
    </row>
    <row r="24" spans="1:43" ht="39.75" customHeight="1">
      <c r="Q24" s="228"/>
      <c r="R24" s="312"/>
      <c r="S24" s="25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44"/>
      <c r="U24" s="2544"/>
      <c r="V24" s="2544"/>
      <c r="W24" s="2544"/>
      <c r="X24" s="2544"/>
      <c r="Y24" s="2544"/>
      <c r="Z24" s="2544"/>
      <c r="AA24" s="2544"/>
      <c r="AB24" s="2544"/>
      <c r="AC24" s="2544"/>
      <c r="AD24" s="2544"/>
      <c r="AE24" s="2544"/>
      <c r="AF24" s="2544"/>
      <c r="AG24" s="2544"/>
      <c r="AH24" s="2544"/>
      <c r="AI24" s="1159"/>
      <c r="AQ24" s="1547">
        <v>38</v>
      </c>
    </row>
    <row r="25" spans="1:43" ht="14.65" customHeight="1">
      <c r="Q25" s="228"/>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1159"/>
      <c r="AQ25" s="1547">
        <v>14</v>
      </c>
    </row>
    <row r="26" spans="1:43" ht="14.25" hidden="1" customHeight="1">
      <c r="Q26" s="228"/>
      <c r="R26" s="312"/>
      <c r="S26" s="1191"/>
      <c r="T26" s="393"/>
      <c r="U26" s="393"/>
      <c r="V26" s="259"/>
      <c r="W26" s="259"/>
      <c r="X26" s="259"/>
      <c r="Y26" s="259"/>
      <c r="Z26" s="259"/>
      <c r="AA26" s="259"/>
      <c r="AB26" s="259"/>
      <c r="AC26" s="259"/>
      <c r="AD26" s="259"/>
      <c r="AE26" s="259"/>
      <c r="AF26" s="259"/>
      <c r="AG26" s="259"/>
      <c r="AH26" s="259"/>
      <c r="AI26" s="259"/>
      <c r="AJ26" s="1551"/>
      <c r="AQ26" s="1547">
        <v>0</v>
      </c>
    </row>
    <row r="27" spans="1:43" s="2380" customFormat="1" ht="25.5" hidden="1" customHeight="1">
      <c r="A27" s="1164"/>
      <c r="B27" s="1164"/>
      <c r="C27" s="1164"/>
      <c r="D27" s="1164"/>
      <c r="E27" s="1164"/>
      <c r="F27" s="1164"/>
      <c r="G27" s="1164"/>
      <c r="H27" s="1164"/>
      <c r="I27" s="1164"/>
      <c r="J27" s="1164"/>
      <c r="K27" s="1164"/>
      <c r="L27" s="1296"/>
      <c r="M27" s="1164"/>
      <c r="N27" s="1164"/>
      <c r="O27" s="1164"/>
      <c r="P27" s="1284"/>
      <c r="Q27" s="1284"/>
      <c r="S27" s="2554" t="s">
        <v>41</v>
      </c>
      <c r="T27" s="2554"/>
      <c r="U27" s="1288"/>
      <c r="V27" s="2556" t="str">
        <f>IF(TITLE_NAME_OR_PR_CHANGE="",IF(TITLE_NAME_OR_PR="","",TITLE_NAME_OR_PR),TITLE_NAME_OR_PR_CHANGE)</f>
        <v/>
      </c>
      <c r="W27" s="2556"/>
      <c r="X27" s="2556"/>
      <c r="Y27" s="2556"/>
      <c r="Z27" s="2556"/>
      <c r="AA27" s="1551"/>
      <c r="AB27" s="1551"/>
      <c r="AC27" s="2556"/>
      <c r="AD27" s="2556"/>
      <c r="AE27" s="2556"/>
      <c r="AF27" s="2556"/>
      <c r="AG27" s="2556"/>
      <c r="AH27" s="2556"/>
      <c r="AI27" s="1551"/>
      <c r="AJ27" s="1551"/>
      <c r="AK27" s="217"/>
      <c r="AL27" s="304"/>
      <c r="AM27" s="304"/>
      <c r="AN27" s="304"/>
      <c r="AO27" s="304"/>
      <c r="AP27" s="304"/>
      <c r="AQ27" s="354">
        <v>0</v>
      </c>
    </row>
    <row r="28" spans="1:43" s="2380" customFormat="1" ht="18.75" hidden="1" customHeight="1">
      <c r="A28" s="1164"/>
      <c r="B28" s="1164"/>
      <c r="C28" s="1164"/>
      <c r="D28" s="1164"/>
      <c r="E28" s="1164"/>
      <c r="F28" s="1164"/>
      <c r="G28" s="1164"/>
      <c r="H28" s="1164"/>
      <c r="I28" s="1164"/>
      <c r="J28" s="1164"/>
      <c r="K28" s="1164"/>
      <c r="L28" s="1296"/>
      <c r="M28" s="1164"/>
      <c r="N28" s="1164"/>
      <c r="O28" s="1164"/>
      <c r="P28" s="1284"/>
      <c r="Q28" s="1284"/>
      <c r="S28" s="2554" t="s">
        <v>422</v>
      </c>
      <c r="T28" s="2554"/>
      <c r="U28" s="1288"/>
      <c r="V28" s="2555" t="str">
        <f>IF(TITLE_DATE_PR_CHANGE="",IF(TITLE_DATE_PR="","",TITLE_DATE_PR),TITLE_DATE_PR_CHANGE)</f>
        <v/>
      </c>
      <c r="W28" s="2555"/>
      <c r="X28" s="2555"/>
      <c r="Y28" s="2555"/>
      <c r="Z28" s="2555"/>
      <c r="AA28" s="1551"/>
      <c r="AB28" s="1551"/>
      <c r="AC28" s="2555"/>
      <c r="AD28" s="2555"/>
      <c r="AE28" s="2555"/>
      <c r="AF28" s="2555"/>
      <c r="AG28" s="2555"/>
      <c r="AH28" s="2555"/>
      <c r="AI28" s="1551"/>
      <c r="AJ28" s="1551"/>
      <c r="AK28" s="217"/>
      <c r="AL28" s="304"/>
      <c r="AM28" s="304"/>
      <c r="AN28" s="304"/>
      <c r="AO28" s="304"/>
      <c r="AP28" s="304"/>
      <c r="AQ28" s="354">
        <v>0</v>
      </c>
    </row>
    <row r="29" spans="1:43" s="2380" customFormat="1" ht="18.75" hidden="1" customHeight="1">
      <c r="A29" s="1164"/>
      <c r="B29" s="1164"/>
      <c r="C29" s="1164"/>
      <c r="D29" s="1164"/>
      <c r="E29" s="1164"/>
      <c r="F29" s="1164"/>
      <c r="G29" s="1164"/>
      <c r="H29" s="1164"/>
      <c r="I29" s="1164"/>
      <c r="J29" s="1164"/>
      <c r="K29" s="1164"/>
      <c r="L29" s="1296"/>
      <c r="M29" s="1164"/>
      <c r="N29" s="1164"/>
      <c r="O29" s="1164"/>
      <c r="P29" s="1284"/>
      <c r="Q29" s="1284"/>
      <c r="S29" s="2554" t="s">
        <v>423</v>
      </c>
      <c r="T29" s="2554"/>
      <c r="U29" s="1288"/>
      <c r="V29" s="2556" t="str">
        <f>IF(TITLE_NUMBER_PR_CHANGE="",IF(TITLE_NUMBER_PR="","",TITLE_NUMBER_PR),TITLE_NUMBER_PR_CHANGE)</f>
        <v/>
      </c>
      <c r="W29" s="2556"/>
      <c r="X29" s="2556"/>
      <c r="Y29" s="2556"/>
      <c r="Z29" s="2556"/>
      <c r="AA29" s="1551"/>
      <c r="AB29" s="1551"/>
      <c r="AC29" s="2556"/>
      <c r="AD29" s="2556"/>
      <c r="AE29" s="2556"/>
      <c r="AF29" s="2556"/>
      <c r="AG29" s="2556"/>
      <c r="AH29" s="2556"/>
      <c r="AI29" s="1551"/>
      <c r="AJ29" s="1551"/>
      <c r="AK29" s="217"/>
      <c r="AL29" s="304"/>
      <c r="AM29" s="304"/>
      <c r="AN29" s="304"/>
      <c r="AO29" s="304"/>
      <c r="AP29" s="304"/>
      <c r="AQ29" s="354">
        <v>0</v>
      </c>
    </row>
    <row r="30" spans="1:43" s="2380" customFormat="1" ht="18.75" hidden="1" customHeight="1">
      <c r="A30" s="1164"/>
      <c r="B30" s="1164"/>
      <c r="C30" s="1164"/>
      <c r="D30" s="1164"/>
      <c r="E30" s="1164"/>
      <c r="F30" s="1164"/>
      <c r="G30" s="1164"/>
      <c r="H30" s="1164"/>
      <c r="I30" s="1164"/>
      <c r="J30" s="1164"/>
      <c r="K30" s="1164"/>
      <c r="L30" s="1296"/>
      <c r="M30" s="1164"/>
      <c r="N30" s="1164"/>
      <c r="O30" s="1164"/>
      <c r="P30" s="1284"/>
      <c r="Q30" s="1284"/>
      <c r="S30" s="2554" t="s">
        <v>42</v>
      </c>
      <c r="T30" s="2554"/>
      <c r="U30" s="1288"/>
      <c r="V30" s="2556" t="str">
        <f>IF(TITLE_IST_PUB_CHANGE="",IF(TITLE_IST_PUB="","",TITLE_IST_PUB),TITLE_IST_PUB_CHANGE)</f>
        <v/>
      </c>
      <c r="W30" s="2556"/>
      <c r="X30" s="2556"/>
      <c r="Y30" s="2556"/>
      <c r="Z30" s="2556"/>
      <c r="AA30" s="1551"/>
      <c r="AB30" s="1551"/>
      <c r="AC30" s="2556"/>
      <c r="AD30" s="2556"/>
      <c r="AE30" s="2556"/>
      <c r="AF30" s="2556"/>
      <c r="AG30" s="2556"/>
      <c r="AH30" s="2556"/>
      <c r="AI30" s="1551"/>
      <c r="AJ30" s="1551"/>
      <c r="AK30" s="217"/>
      <c r="AL30" s="304"/>
      <c r="AM30" s="304"/>
      <c r="AN30" s="304"/>
      <c r="AO30" s="304"/>
      <c r="AP30" s="304"/>
      <c r="AQ30" s="354">
        <v>0</v>
      </c>
    </row>
    <row r="31" spans="1:43" ht="14.25" hidden="1" customHeight="1">
      <c r="Q31" s="228"/>
      <c r="R31" s="312"/>
      <c r="S31" s="1191"/>
      <c r="T31" s="393"/>
      <c r="U31" s="393"/>
      <c r="V31" s="259"/>
      <c r="W31" s="259"/>
      <c r="X31" s="259"/>
      <c r="Y31" s="259"/>
      <c r="Z31" s="259"/>
      <c r="AA31" s="259"/>
      <c r="AB31" s="259"/>
      <c r="AC31" s="259"/>
      <c r="AD31" s="259"/>
      <c r="AE31" s="259"/>
      <c r="AF31" s="259"/>
      <c r="AG31" s="259"/>
      <c r="AH31" s="259"/>
      <c r="AI31" s="259"/>
      <c r="AJ31" s="1551"/>
      <c r="AQ31" s="1547">
        <v>0</v>
      </c>
    </row>
    <row r="32" spans="1:43" s="2380" customFormat="1" ht="18.75" hidden="1" customHeight="1">
      <c r="A32" s="1164"/>
      <c r="B32" s="1164"/>
      <c r="C32" s="1164"/>
      <c r="D32" s="1164"/>
      <c r="E32" s="1164"/>
      <c r="F32" s="1164"/>
      <c r="G32" s="1164"/>
      <c r="H32" s="1164"/>
      <c r="I32" s="1164"/>
      <c r="J32" s="1164"/>
      <c r="K32" s="1164"/>
      <c r="L32" s="1296"/>
      <c r="M32" s="1164"/>
      <c r="N32" s="1164"/>
      <c r="O32" s="1164"/>
      <c r="P32" s="1284"/>
      <c r="Q32" s="1284"/>
      <c r="S32" s="2554" t="s">
        <v>422</v>
      </c>
      <c r="T32" s="2554"/>
      <c r="U32" s="1288"/>
      <c r="V32" s="2555" t="str">
        <f>IF(TITLE_DATE_PR_CHANGE="",IF(TITLE_DATE_PR="","",TITLE_DATE_PR),TITLE_DATE_PR_CHANGE)</f>
        <v/>
      </c>
      <c r="W32" s="2555"/>
      <c r="X32" s="2555"/>
      <c r="Y32" s="2555"/>
      <c r="Z32" s="2555"/>
      <c r="AA32" s="1551"/>
      <c r="AB32" s="1551"/>
      <c r="AC32" s="2555"/>
      <c r="AD32" s="2555"/>
      <c r="AE32" s="2555"/>
      <c r="AF32" s="2555"/>
      <c r="AG32" s="2555"/>
      <c r="AH32" s="2555"/>
      <c r="AI32" s="1551"/>
      <c r="AJ32" s="1551"/>
      <c r="AK32" s="217"/>
      <c r="AL32" s="304"/>
      <c r="AM32" s="304"/>
      <c r="AN32" s="304"/>
      <c r="AO32" s="304"/>
      <c r="AP32" s="304"/>
      <c r="AQ32" s="354">
        <v>0</v>
      </c>
    </row>
    <row r="33" spans="1:43" s="2380" customFormat="1" ht="18" hidden="1" customHeight="1">
      <c r="A33" s="1164"/>
      <c r="B33" s="1164"/>
      <c r="C33" s="1164"/>
      <c r="D33" s="1164"/>
      <c r="E33" s="1164"/>
      <c r="F33" s="1164"/>
      <c r="G33" s="1164"/>
      <c r="H33" s="1164"/>
      <c r="I33" s="1164"/>
      <c r="J33" s="1164"/>
      <c r="K33" s="1164"/>
      <c r="L33" s="1296"/>
      <c r="M33" s="1164"/>
      <c r="N33" s="1164"/>
      <c r="O33" s="1164"/>
      <c r="P33" s="1284"/>
      <c r="Q33" s="1284"/>
      <c r="S33" s="2554" t="s">
        <v>423</v>
      </c>
      <c r="T33" s="2554"/>
      <c r="U33" s="1288"/>
      <c r="V33" s="2556" t="str">
        <f>IF(TITLE_NUMBER_PR_CHANGE="",IF(TITLE_NUMBER_PR="","",TITLE_NUMBER_PR),TITLE_NUMBER_PR_CHANGE)</f>
        <v/>
      </c>
      <c r="W33" s="2556"/>
      <c r="X33" s="2556"/>
      <c r="Y33" s="2556"/>
      <c r="Z33" s="2556"/>
      <c r="AA33" s="1551"/>
      <c r="AB33" s="1551"/>
      <c r="AC33" s="2556"/>
      <c r="AD33" s="2556"/>
      <c r="AE33" s="2556"/>
      <c r="AF33" s="2556"/>
      <c r="AG33" s="2556"/>
      <c r="AH33" s="2556"/>
      <c r="AI33" s="1551"/>
      <c r="AJ33" s="1551"/>
      <c r="AK33" s="217"/>
      <c r="AL33" s="304"/>
      <c r="AM33" s="304"/>
      <c r="AN33" s="304"/>
      <c r="AO33" s="304"/>
      <c r="AP33" s="304"/>
      <c r="AQ33" s="354">
        <v>0</v>
      </c>
    </row>
    <row r="34" spans="1:43" s="2380" customFormat="1" ht="1.1499999999999999" customHeight="1">
      <c r="A34" s="1164"/>
      <c r="B34" s="1164"/>
      <c r="C34" s="1164"/>
      <c r="D34" s="1164"/>
      <c r="E34" s="1164"/>
      <c r="F34" s="1164"/>
      <c r="G34" s="1164"/>
      <c r="H34" s="1164"/>
      <c r="I34" s="1164"/>
      <c r="J34" s="1164"/>
      <c r="K34" s="1164"/>
      <c r="L34" s="1296"/>
      <c r="M34" s="1164"/>
      <c r="N34" s="1164"/>
      <c r="O34" s="1164"/>
      <c r="P34" s="1284"/>
      <c r="Q34" s="1284"/>
      <c r="S34" s="1551"/>
      <c r="T34" s="1551"/>
      <c r="U34" s="1879"/>
      <c r="V34" s="1551"/>
      <c r="W34" s="1551"/>
      <c r="X34" s="1551"/>
      <c r="Y34" s="1551"/>
      <c r="Z34" s="1551"/>
      <c r="AA34" s="1558" t="s">
        <v>426</v>
      </c>
      <c r="AB34" s="1558"/>
      <c r="AC34" s="1551"/>
      <c r="AD34" s="1551"/>
      <c r="AE34" s="1551"/>
      <c r="AF34" s="1551"/>
      <c r="AG34" s="1551"/>
      <c r="AH34" s="1551"/>
      <c r="AI34" s="1558" t="s">
        <v>426</v>
      </c>
      <c r="AL34" s="304"/>
      <c r="AM34" s="304"/>
      <c r="AN34" s="304"/>
      <c r="AO34" s="304"/>
      <c r="AP34" s="304"/>
      <c r="AQ34" s="354">
        <v>1</v>
      </c>
    </row>
    <row r="35" spans="1:43" ht="14.65" customHeight="1">
      <c r="Q35" s="228"/>
      <c r="R35" s="312"/>
      <c r="S35" s="1191"/>
      <c r="T35" s="393"/>
      <c r="U35" s="1160"/>
      <c r="V35" s="2575"/>
      <c r="W35" s="2575"/>
      <c r="X35" s="2575"/>
      <c r="Y35" s="2575"/>
      <c r="Z35" s="2575"/>
      <c r="AA35" s="2575"/>
      <c r="AB35" s="1866"/>
      <c r="AC35" s="2575"/>
      <c r="AD35" s="2575"/>
      <c r="AE35" s="2575"/>
      <c r="AF35" s="2575"/>
      <c r="AG35" s="2575"/>
      <c r="AH35" s="2575"/>
      <c r="AI35" s="2575"/>
      <c r="AQ35" s="1547">
        <v>14</v>
      </c>
    </row>
    <row r="36" spans="1:43" ht="14.65" customHeight="1">
      <c r="Q36" s="228"/>
      <c r="R36" s="312"/>
      <c r="S36" s="2435" t="s">
        <v>299</v>
      </c>
      <c r="T36" s="2435"/>
      <c r="U36" s="2435"/>
      <c r="V36" s="2435"/>
      <c r="W36" s="2435"/>
      <c r="X36" s="2435"/>
      <c r="Y36" s="2435"/>
      <c r="Z36" s="2435"/>
      <c r="AA36" s="2494"/>
      <c r="AB36" s="2494"/>
      <c r="AC36" s="2494"/>
      <c r="AD36" s="2435"/>
      <c r="AE36" s="2435"/>
      <c r="AF36" s="2435"/>
      <c r="AG36" s="2435"/>
      <c r="AH36" s="2435"/>
      <c r="AI36" s="2435"/>
      <c r="AJ36" s="2435"/>
      <c r="AK36" s="2435" t="s">
        <v>300</v>
      </c>
      <c r="AQ36" s="1547">
        <v>14</v>
      </c>
    </row>
    <row r="37" spans="1:43" ht="14.65" customHeight="1">
      <c r="Q37" s="228"/>
      <c r="R37" s="312"/>
      <c r="S37" s="2576" t="s">
        <v>88</v>
      </c>
      <c r="T37" s="2524" t="s">
        <v>498</v>
      </c>
      <c r="U37" s="274"/>
      <c r="V37" s="2578"/>
      <c r="W37" s="2578"/>
      <c r="X37" s="2578"/>
      <c r="Y37" s="2578"/>
      <c r="Z37" s="2578"/>
      <c r="AA37" s="2524" t="s">
        <v>429</v>
      </c>
      <c r="AB37" s="2523" t="s">
        <v>499</v>
      </c>
      <c r="AC37" s="2523" t="s">
        <v>473</v>
      </c>
      <c r="AD37" s="2593" t="s">
        <v>428</v>
      </c>
      <c r="AE37" s="2593"/>
      <c r="AF37" s="2578"/>
      <c r="AG37" s="2578"/>
      <c r="AH37" s="2579"/>
      <c r="AI37" s="2580" t="s">
        <v>429</v>
      </c>
      <c r="AJ37" s="2583" t="s">
        <v>431</v>
      </c>
      <c r="AK37" s="2435"/>
      <c r="AQ37" s="1547">
        <v>14</v>
      </c>
    </row>
    <row r="38" spans="1:43" ht="35.65" customHeight="1">
      <c r="Q38" s="228"/>
      <c r="R38" s="312"/>
      <c r="S38" s="2576"/>
      <c r="T38" s="2524"/>
      <c r="U38" s="953"/>
      <c r="V38" s="2416" t="s">
        <v>476</v>
      </c>
      <c r="W38" s="2435"/>
      <c r="X38" s="2495" t="s">
        <v>435</v>
      </c>
      <c r="Y38" s="2605"/>
      <c r="Z38" s="2605"/>
      <c r="AA38" s="2524"/>
      <c r="AB38" s="2523"/>
      <c r="AC38" s="2523"/>
      <c r="AD38" s="2416" t="s">
        <v>476</v>
      </c>
      <c r="AE38" s="2435"/>
      <c r="AF38" s="2605" t="s">
        <v>435</v>
      </c>
      <c r="AG38" s="2605"/>
      <c r="AH38" s="2496"/>
      <c r="AI38" s="2581"/>
      <c r="AJ38" s="2584"/>
      <c r="AK38" s="2435"/>
      <c r="AQ38" s="1547">
        <v>34</v>
      </c>
    </row>
    <row r="39" spans="1:43" ht="14.65" customHeight="1">
      <c r="Q39" s="228"/>
      <c r="R39" s="312"/>
      <c r="S39" s="2576"/>
      <c r="T39" s="2524"/>
      <c r="U39" s="953"/>
      <c r="V39" s="2629" t="str">
        <f>IF($AD$39&lt;&gt;"",$AD$39,"")</f>
        <v/>
      </c>
      <c r="W39" s="2629"/>
      <c r="X39" s="2500"/>
      <c r="Y39" s="2606"/>
      <c r="Z39" s="2606"/>
      <c r="AA39" s="2524"/>
      <c r="AB39" s="2523"/>
      <c r="AC39" s="2523"/>
      <c r="AD39" s="2638"/>
      <c r="AE39" s="2628"/>
      <c r="AF39" s="2606"/>
      <c r="AG39" s="2606"/>
      <c r="AH39" s="2501"/>
      <c r="AI39" s="2581"/>
      <c r="AJ39" s="2584"/>
      <c r="AK39" s="2435"/>
      <c r="AQ39" s="1547">
        <v>14</v>
      </c>
    </row>
    <row r="40" spans="1:43" ht="14.65" customHeight="1">
      <c r="A40" s="1182"/>
      <c r="B40" s="1182" t="s">
        <v>136</v>
      </c>
      <c r="C40" s="1182" t="s">
        <v>137</v>
      </c>
      <c r="D40" s="1182" t="s">
        <v>138</v>
      </c>
      <c r="E40" s="1226" t="s">
        <v>436</v>
      </c>
      <c r="F40" s="1226" t="s">
        <v>437</v>
      </c>
      <c r="G40" s="1226" t="s">
        <v>438</v>
      </c>
      <c r="H40" s="1226" t="s">
        <v>439</v>
      </c>
      <c r="I40" s="1226" t="s">
        <v>440</v>
      </c>
      <c r="J40" s="1226" t="s">
        <v>441</v>
      </c>
      <c r="K40" s="1226" t="s">
        <v>442</v>
      </c>
      <c r="L40" s="1226" t="s">
        <v>417</v>
      </c>
      <c r="Q40" s="228"/>
      <c r="R40" s="312"/>
      <c r="S40" s="2576"/>
      <c r="T40" s="2524"/>
      <c r="U40" s="239"/>
      <c r="V40" s="1859" t="s">
        <v>477</v>
      </c>
      <c r="W40" s="1859" t="s">
        <v>478</v>
      </c>
      <c r="X40" s="1847" t="s">
        <v>445</v>
      </c>
      <c r="Y40" s="2529" t="s">
        <v>446</v>
      </c>
      <c r="Z40" s="2542"/>
      <c r="AA40" s="2524"/>
      <c r="AB40" s="2523"/>
      <c r="AC40" s="2523"/>
      <c r="AD40" s="1877" t="s">
        <v>477</v>
      </c>
      <c r="AE40" s="1868" t="s">
        <v>478</v>
      </c>
      <c r="AF40" s="1847" t="s">
        <v>445</v>
      </c>
      <c r="AG40" s="2529" t="s">
        <v>446</v>
      </c>
      <c r="AH40" s="2543"/>
      <c r="AI40" s="2582"/>
      <c r="AJ40" s="2585"/>
      <c r="AK40" s="2435"/>
      <c r="AQ40" s="1547">
        <v>14</v>
      </c>
    </row>
    <row r="41" spans="1:43" s="2335" customFormat="1" ht="11.25" hidden="1" customHeight="1">
      <c r="A41" s="1182"/>
      <c r="B41" s="1182"/>
      <c r="C41" s="1182"/>
      <c r="D41" s="1182"/>
      <c r="E41" s="1182"/>
      <c r="F41" s="1182"/>
      <c r="G41" s="1182"/>
      <c r="H41" s="1182"/>
      <c r="I41" s="1182"/>
      <c r="J41" s="1182"/>
      <c r="K41" s="1182"/>
      <c r="L41" s="1226"/>
      <c r="M41" s="1874"/>
      <c r="N41" s="1874"/>
      <c r="O41" s="1874"/>
      <c r="P41" s="446"/>
      <c r="Q41" s="1170"/>
      <c r="R41" s="1170">
        <v>1</v>
      </c>
      <c r="S41" s="1193" t="s">
        <v>109</v>
      </c>
      <c r="T41" s="1171" t="s">
        <v>110</v>
      </c>
      <c r="U41" s="1161" t="str">
        <f ca="1">OFFSET(U41,0,-1)</f>
        <v>2</v>
      </c>
      <c r="V41" s="1865">
        <f ca="1">OFFSET(V41,0,-1)+1</f>
        <v>3</v>
      </c>
      <c r="W41" s="1865">
        <f ca="1">OFFSET(W41,0,-1)+1</f>
        <v>4</v>
      </c>
      <c r="X41" s="1865">
        <f ca="1">OFFSET(X41,0,-1)+1</f>
        <v>5</v>
      </c>
      <c r="Y41" s="2574">
        <f ca="1">OFFSET(Y41,0,-1)+1</f>
        <v>6</v>
      </c>
      <c r="Z41" s="2574"/>
      <c r="AA41" s="1257">
        <f ca="1">OFFSET(AA41,0,-2)+1</f>
        <v>7</v>
      </c>
      <c r="AB41" s="1257"/>
      <c r="AC41" s="1257"/>
      <c r="AD41" s="1865">
        <f ca="1">OFFSET(AD41,0,-1)+1</f>
        <v>1</v>
      </c>
      <c r="AE41" s="1865">
        <f ca="1">OFFSET(AE41,0,-1)+1</f>
        <v>2</v>
      </c>
      <c r="AF41" s="1865">
        <f ca="1">OFFSET(AF41,0,-1)+1</f>
        <v>3</v>
      </c>
      <c r="AG41" s="2574">
        <f ca="1">OFFSET(AG41,0,-1)+1</f>
        <v>4</v>
      </c>
      <c r="AH41" s="2574"/>
      <c r="AI41" s="1865">
        <f ca="1">OFFSET(AI41,0,-2)+1</f>
        <v>5</v>
      </c>
      <c r="AJ41" s="1161">
        <f ca="1">OFFSET(AJ41,0,-1)</f>
        <v>5</v>
      </c>
      <c r="AK41" s="1865">
        <f ca="1">OFFSET(AK41,0,-1)+1</f>
        <v>6</v>
      </c>
      <c r="AL41" s="1552"/>
      <c r="AM41" s="1552"/>
      <c r="AN41" s="1552"/>
      <c r="AO41" s="1552"/>
      <c r="AP41" s="1552"/>
      <c r="AQ41" s="1557">
        <v>0</v>
      </c>
    </row>
    <row r="42" spans="1:43" ht="107.25" customHeight="1">
      <c r="A42" s="1183" t="s">
        <v>205</v>
      </c>
      <c r="B42" s="1183"/>
      <c r="C42" s="1183"/>
      <c r="D42" s="1183"/>
      <c r="E42" s="2589">
        <v>1</v>
      </c>
      <c r="F42" s="1183"/>
      <c r="G42" s="1183"/>
      <c r="H42" s="1183"/>
      <c r="I42" s="1183"/>
      <c r="J42" s="1183"/>
      <c r="K42" s="1183"/>
      <c r="L42" s="1226"/>
      <c r="M42" s="1526"/>
      <c r="N42" s="1526"/>
      <c r="O42" s="1526"/>
      <c r="P42" s="1325"/>
      <c r="Q42" s="799"/>
      <c r="R42" s="291"/>
      <c r="S42" s="1867">
        <f>INDEX(PT_DIFFERENTIATION_NUM_NTAR,MATCH(A42,PT_DIFFERENTIATION_NTAR_ID,0))</f>
        <v>0</v>
      </c>
      <c r="T42" s="1441" t="s">
        <v>124</v>
      </c>
      <c r="U42" s="237"/>
      <c r="V42" s="2558"/>
      <c r="W42" s="2558"/>
      <c r="X42" s="2558"/>
      <c r="Y42" s="2558"/>
      <c r="Z42" s="2558"/>
      <c r="AA42" s="2559"/>
      <c r="AB42" s="1861"/>
      <c r="AC42" s="2558" t="str">
        <f>INDEX(PT_DIFFERENTIATION_NTAR,MATCH(A42,PT_DIFFERENTIATION_NTAR_ID,0))</f>
        <v/>
      </c>
      <c r="AD42" s="2558"/>
      <c r="AE42" s="2558"/>
      <c r="AF42" s="2558"/>
      <c r="AG42" s="2558"/>
      <c r="AH42" s="2558"/>
      <c r="AI42" s="2558"/>
      <c r="AJ42" s="2559"/>
      <c r="AK42" s="117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0"/>
      <c r="AN42" s="1540" t="str">
        <f t="shared" ref="AN42:AN56" si="1">IF(T42="","",T42)</f>
        <v>Наименование тарифа</v>
      </c>
      <c r="AO42" s="1540"/>
      <c r="AP42" s="1540"/>
      <c r="AQ42" s="1547">
        <v>102</v>
      </c>
    </row>
    <row r="43" spans="1:43" ht="21.95" customHeight="1">
      <c r="A43" s="1183" t="s">
        <v>205</v>
      </c>
      <c r="B43" s="1183" t="s">
        <v>206</v>
      </c>
      <c r="C43" s="1183"/>
      <c r="D43" s="1183"/>
      <c r="E43" s="2590"/>
      <c r="F43" s="2589">
        <v>1</v>
      </c>
      <c r="G43" s="1183"/>
      <c r="H43" s="1183"/>
      <c r="I43" s="1183"/>
      <c r="J43" s="1183"/>
      <c r="K43" s="1183"/>
      <c r="L43" s="1226"/>
      <c r="M43" s="1526"/>
      <c r="N43" s="1526"/>
      <c r="O43" s="1526"/>
      <c r="P43" s="1878"/>
      <c r="Q43" s="1327"/>
      <c r="R43" s="289"/>
      <c r="S43" s="1867" t="str">
        <f>INDEX(PT_DIFFERENTIATION_NUM_TER,MATCH(B43,PT_DIFFERENTIATION_TER_ID,0))</f>
        <v>.</v>
      </c>
      <c r="T43" s="1438" t="s">
        <v>396</v>
      </c>
      <c r="U43" s="237"/>
      <c r="V43" s="2558"/>
      <c r="W43" s="2558"/>
      <c r="X43" s="2558"/>
      <c r="Y43" s="2558"/>
      <c r="Z43" s="2558"/>
      <c r="AA43" s="2559"/>
      <c r="AB43" s="1861"/>
      <c r="AC43" s="2558" t="str">
        <f>INDEX(PT_DIFFERENTIATION_TER,MATCH(B43,PT_DIFFERENTIATION_TER_ID,0))</f>
        <v/>
      </c>
      <c r="AD43" s="2558"/>
      <c r="AE43" s="2558"/>
      <c r="AF43" s="2558"/>
      <c r="AG43" s="2558"/>
      <c r="AH43" s="2558"/>
      <c r="AI43" s="2558"/>
      <c r="AJ43" s="2559"/>
      <c r="AK43" s="1174" t="s">
        <v>397</v>
      </c>
      <c r="AM43" s="1540"/>
      <c r="AN43" s="1540" t="str">
        <f t="shared" si="1"/>
        <v>Территория действия тарифа</v>
      </c>
      <c r="AO43" s="1540"/>
      <c r="AP43" s="1540"/>
      <c r="AQ43" s="1547">
        <v>21</v>
      </c>
    </row>
    <row r="44" spans="1:43" ht="24" customHeight="1">
      <c r="A44" s="1183" t="s">
        <v>205</v>
      </c>
      <c r="B44" s="1183" t="s">
        <v>206</v>
      </c>
      <c r="C44" s="1183" t="s">
        <v>207</v>
      </c>
      <c r="D44" s="1183"/>
      <c r="E44" s="2590"/>
      <c r="F44" s="2590"/>
      <c r="G44" s="2589">
        <v>1</v>
      </c>
      <c r="H44" s="1183"/>
      <c r="I44" s="1183"/>
      <c r="J44" s="1183"/>
      <c r="K44" s="1183"/>
      <c r="L44" s="1226"/>
      <c r="M44" s="1526"/>
      <c r="N44" s="1526"/>
      <c r="O44" s="1526"/>
      <c r="P44" s="1328"/>
      <c r="Q44" s="1327"/>
      <c r="R44" s="289"/>
      <c r="S44" s="1867" t="str">
        <f>INDEX(PT_DIFFERENTIATION_NUM_CS,MATCH(C44,PT_DIFFERENTIATION_CS_ID,0))</f>
        <v>..</v>
      </c>
      <c r="T44" s="246" t="s">
        <v>398</v>
      </c>
      <c r="U44" s="237"/>
      <c r="V44" s="2558"/>
      <c r="W44" s="2558"/>
      <c r="X44" s="2558"/>
      <c r="Y44" s="2558"/>
      <c r="Z44" s="2558"/>
      <c r="AA44" s="2559"/>
      <c r="AB44" s="1861"/>
      <c r="AC44" s="2558" t="str">
        <f>INDEX(PT_DIFFERENTIATION_CS,MATCH(C44,PT_DIFFERENTIATION_CS_ID,0))</f>
        <v/>
      </c>
      <c r="AD44" s="2558"/>
      <c r="AE44" s="2558"/>
      <c r="AF44" s="2558"/>
      <c r="AG44" s="2558"/>
      <c r="AH44" s="2558"/>
      <c r="AI44" s="2558"/>
      <c r="AJ44" s="2559"/>
      <c r="AK44" s="1174" t="s">
        <v>399</v>
      </c>
      <c r="AM44" s="1540"/>
      <c r="AN44" s="1540" t="str">
        <f t="shared" si="1"/>
        <v xml:space="preserve">Наименование системы теплоснабжения </v>
      </c>
      <c r="AO44" s="1540"/>
      <c r="AP44" s="1540"/>
      <c r="AQ44" s="1547">
        <v>23</v>
      </c>
    </row>
    <row r="45" spans="1:43" ht="21.95" customHeight="1">
      <c r="A45" s="1183" t="s">
        <v>205</v>
      </c>
      <c r="B45" s="1183" t="s">
        <v>206</v>
      </c>
      <c r="C45" s="1183" t="s">
        <v>207</v>
      </c>
      <c r="D45" s="1183" t="s">
        <v>208</v>
      </c>
      <c r="E45" s="2590"/>
      <c r="F45" s="2590"/>
      <c r="G45" s="2590"/>
      <c r="H45" s="2589">
        <v>1</v>
      </c>
      <c r="I45" s="1183"/>
      <c r="J45" s="1183"/>
      <c r="K45" s="1183"/>
      <c r="L45" s="1226"/>
      <c r="M45" s="1526"/>
      <c r="N45" s="1526"/>
      <c r="O45" s="1526"/>
      <c r="P45" s="1328"/>
      <c r="Q45" s="1327"/>
      <c r="R45" s="289"/>
      <c r="S45" s="1867" t="str">
        <f>INDEX(PT_DIFFERENTIATION_NUM_IST_TE,MATCH(D45,PT_DIFFERENTIATION_IST_TE_ID,0))</f>
        <v>...</v>
      </c>
      <c r="T45" s="247" t="s">
        <v>400</v>
      </c>
      <c r="U45" s="237"/>
      <c r="V45" s="2558"/>
      <c r="W45" s="2558"/>
      <c r="X45" s="2558"/>
      <c r="Y45" s="2558"/>
      <c r="Z45" s="2558"/>
      <c r="AA45" s="2559"/>
      <c r="AB45" s="1861"/>
      <c r="AC45" s="2558" t="str">
        <f>INDEX(PT_DIFFERENTIATION_IST_TE,MATCH(D45,PT_DIFFERENTIATION_IST_TE_ID,0))</f>
        <v/>
      </c>
      <c r="AD45" s="2558"/>
      <c r="AE45" s="2558"/>
      <c r="AF45" s="2558"/>
      <c r="AG45" s="2558"/>
      <c r="AH45" s="2558"/>
      <c r="AI45" s="2558"/>
      <c r="AJ45" s="2559"/>
      <c r="AK45" s="1174" t="s">
        <v>401</v>
      </c>
      <c r="AM45" s="1540"/>
      <c r="AN45" s="1540" t="str">
        <f t="shared" si="1"/>
        <v xml:space="preserve">Источник тепловой энергии  </v>
      </c>
      <c r="AO45" s="1540"/>
      <c r="AP45" s="1540"/>
      <c r="AQ45" s="1547">
        <v>21</v>
      </c>
    </row>
    <row r="46" spans="1:43" s="2344" customFormat="1" ht="0" hidden="1" customHeight="1">
      <c r="A46" s="1291" t="s">
        <v>205</v>
      </c>
      <c r="B46" s="1291" t="s">
        <v>206</v>
      </c>
      <c r="C46" s="1291" t="s">
        <v>207</v>
      </c>
      <c r="D46" s="1291" t="s">
        <v>208</v>
      </c>
      <c r="E46" s="2590"/>
      <c r="F46" s="2590"/>
      <c r="G46" s="2590"/>
      <c r="H46" s="2590"/>
      <c r="I46" s="2435" t="str">
        <f>S45&amp;".1"</f>
        <v>....1</v>
      </c>
      <c r="J46" s="1291"/>
      <c r="K46" s="1291"/>
      <c r="L46" s="1297" t="s">
        <v>402</v>
      </c>
      <c r="M46" s="1162"/>
      <c r="N46" s="1162"/>
      <c r="O46" s="1162"/>
      <c r="P46" s="2567">
        <v>1</v>
      </c>
      <c r="Q46" s="1863"/>
      <c r="R46" s="292"/>
      <c r="S46" s="964"/>
      <c r="T46" s="1299"/>
      <c r="U46" s="1300"/>
      <c r="V46" s="2595"/>
      <c r="W46" s="2595"/>
      <c r="X46" s="2595"/>
      <c r="Y46" s="2595"/>
      <c r="Z46" s="2595"/>
      <c r="AA46" s="2596"/>
      <c r="AB46" s="1869"/>
      <c r="AC46" s="2595"/>
      <c r="AD46" s="2595"/>
      <c r="AE46" s="2595"/>
      <c r="AF46" s="2595"/>
      <c r="AG46" s="2595"/>
      <c r="AH46" s="2595"/>
      <c r="AI46" s="2595"/>
      <c r="AJ46" s="2596"/>
      <c r="AK46" s="1301"/>
      <c r="AM46" s="1540"/>
      <c r="AN46" s="1540" t="str">
        <f t="shared" si="1"/>
        <v/>
      </c>
      <c r="AO46" s="1540"/>
      <c r="AP46" s="1540"/>
      <c r="AQ46" s="1552">
        <v>0</v>
      </c>
    </row>
    <row r="47" spans="1:43" s="2344" customFormat="1" ht="0" hidden="1" customHeight="1">
      <c r="A47" s="1291" t="s">
        <v>205</v>
      </c>
      <c r="B47" s="1291" t="s">
        <v>206</v>
      </c>
      <c r="C47" s="1291" t="s">
        <v>207</v>
      </c>
      <c r="D47" s="1291" t="s">
        <v>208</v>
      </c>
      <c r="E47" s="2590"/>
      <c r="F47" s="2590"/>
      <c r="G47" s="2590"/>
      <c r="H47" s="2590"/>
      <c r="I47" s="2417"/>
      <c r="J47" s="2435" t="str">
        <f>S45&amp;".1"</f>
        <v>....1</v>
      </c>
      <c r="K47" s="1291"/>
      <c r="L47" s="1297"/>
      <c r="M47" s="1162"/>
      <c r="N47" s="1162"/>
      <c r="O47" s="1162"/>
      <c r="P47" s="2567"/>
      <c r="Q47" s="2567">
        <v>1</v>
      </c>
      <c r="R47" s="293"/>
      <c r="S47" s="964"/>
      <c r="T47" s="1315"/>
      <c r="U47" s="1300"/>
      <c r="V47" s="2595"/>
      <c r="W47" s="2595"/>
      <c r="X47" s="2595"/>
      <c r="Y47" s="2595"/>
      <c r="Z47" s="2595"/>
      <c r="AA47" s="2596"/>
      <c r="AB47" s="1869"/>
      <c r="AC47" s="2595"/>
      <c r="AD47" s="2595"/>
      <c r="AE47" s="2595"/>
      <c r="AF47" s="2595"/>
      <c r="AG47" s="2595"/>
      <c r="AH47" s="2595"/>
      <c r="AI47" s="2595"/>
      <c r="AJ47" s="2596"/>
      <c r="AK47" s="1301"/>
      <c r="AM47" s="1540"/>
      <c r="AN47" s="1540" t="str">
        <f t="shared" si="1"/>
        <v/>
      </c>
      <c r="AO47" s="1540"/>
      <c r="AP47" s="1540"/>
      <c r="AQ47" s="1552">
        <v>0</v>
      </c>
    </row>
    <row r="48" spans="1:43" ht="21.95" customHeight="1">
      <c r="A48" s="1183" t="s">
        <v>205</v>
      </c>
      <c r="B48" s="1183" t="s">
        <v>206</v>
      </c>
      <c r="C48" s="1183" t="s">
        <v>207</v>
      </c>
      <c r="D48" s="1183" t="s">
        <v>208</v>
      </c>
      <c r="E48" s="2590"/>
      <c r="F48" s="2590"/>
      <c r="G48" s="2590"/>
      <c r="H48" s="2590"/>
      <c r="I48" s="2417"/>
      <c r="J48" s="2417"/>
      <c r="K48" s="1850" t="str">
        <f>S45&amp;".1"</f>
        <v>....1</v>
      </c>
      <c r="L48" s="1226"/>
      <c r="P48" s="2567"/>
      <c r="Q48" s="2567"/>
      <c r="R48" s="293">
        <v>1</v>
      </c>
      <c r="S48" s="1871" t="str">
        <f>$K48</f>
        <v>....1</v>
      </c>
      <c r="T48" s="1870"/>
      <c r="U48" s="237"/>
      <c r="V48" s="687"/>
      <c r="W48" s="1173"/>
      <c r="X48" s="1864"/>
      <c r="Y48" s="1851" t="s">
        <v>62</v>
      </c>
      <c r="Z48" s="1864"/>
      <c r="AA48" s="1851" t="s">
        <v>62</v>
      </c>
      <c r="AB48" s="1873"/>
      <c r="AC48" s="1872" t="s">
        <v>22</v>
      </c>
      <c r="AD48" s="687"/>
      <c r="AE48" s="1173"/>
      <c r="AF48" s="1864"/>
      <c r="AG48" s="1851" t="s">
        <v>62</v>
      </c>
      <c r="AH48" s="1864"/>
      <c r="AI48" s="1851" t="s">
        <v>62</v>
      </c>
      <c r="AJ48" s="1264"/>
      <c r="AK48" s="2586" t="s">
        <v>479</v>
      </c>
      <c r="AL48" s="1552" t="e">
        <f ca="1">STRCHECKDATE(#REF!)</f>
        <v>#NAME?</v>
      </c>
      <c r="AM48" s="1540"/>
      <c r="AN48" s="1540" t="str">
        <f t="shared" si="1"/>
        <v/>
      </c>
      <c r="AO48" s="1540"/>
      <c r="AP48" s="1540"/>
      <c r="AQ48" s="1547">
        <v>21</v>
      </c>
    </row>
    <row r="49" spans="1:43" ht="11.45" customHeight="1">
      <c r="A49" s="1183" t="s">
        <v>205</v>
      </c>
      <c r="B49" s="1183" t="s">
        <v>206</v>
      </c>
      <c r="C49" s="1183" t="s">
        <v>207</v>
      </c>
      <c r="D49" s="1183" t="s">
        <v>208</v>
      </c>
      <c r="E49" s="2590"/>
      <c r="F49" s="2590"/>
      <c r="G49" s="2590"/>
      <c r="H49" s="2590"/>
      <c r="I49" s="2417"/>
      <c r="J49" s="2435"/>
      <c r="K49" s="1183"/>
      <c r="L49" s="1226"/>
      <c r="P49" s="2567"/>
      <c r="Q49" s="2567"/>
      <c r="R49" s="292"/>
      <c r="S49" s="1194"/>
      <c r="T49" s="224" t="s">
        <v>467</v>
      </c>
      <c r="U49" s="536"/>
      <c r="V49" s="536"/>
      <c r="W49" s="536"/>
      <c r="X49" s="536"/>
      <c r="Y49" s="536"/>
      <c r="Z49" s="536"/>
      <c r="AA49" s="261"/>
      <c r="AB49" s="536"/>
      <c r="AC49" s="536"/>
      <c r="AD49" s="536"/>
      <c r="AE49" s="536"/>
      <c r="AF49" s="536"/>
      <c r="AG49" s="536"/>
      <c r="AH49" s="536"/>
      <c r="AI49" s="536"/>
      <c r="AJ49" s="261"/>
      <c r="AK49" s="2588"/>
      <c r="AM49" s="1540"/>
      <c r="AN49" s="1540" t="str">
        <f t="shared" si="1"/>
        <v>Добавить строку</v>
      </c>
      <c r="AO49" s="1540"/>
      <c r="AP49" s="1540"/>
      <c r="AQ49" s="1547">
        <v>11</v>
      </c>
    </row>
    <row r="50" spans="1:43" s="2344" customFormat="1" ht="1.1499999999999999" customHeight="1">
      <c r="A50" s="1291" t="s">
        <v>205</v>
      </c>
      <c r="B50" s="1291" t="s">
        <v>206</v>
      </c>
      <c r="C50" s="1291" t="s">
        <v>207</v>
      </c>
      <c r="D50" s="1291" t="s">
        <v>208</v>
      </c>
      <c r="E50" s="2590"/>
      <c r="F50" s="2590"/>
      <c r="G50" s="2590"/>
      <c r="H50" s="2590"/>
      <c r="I50" s="2435"/>
      <c r="J50" s="1291"/>
      <c r="K50" s="1291"/>
      <c r="L50" s="1297"/>
      <c r="M50" s="1162"/>
      <c r="N50" s="1162"/>
      <c r="O50" s="1162"/>
      <c r="P50" s="2567"/>
      <c r="Q50" s="1863"/>
      <c r="R50" s="292"/>
      <c r="S50" s="1302"/>
      <c r="T50" s="1303" t="s">
        <v>411</v>
      </c>
      <c r="U50" s="1304"/>
      <c r="V50" s="1304"/>
      <c r="W50" s="1304"/>
      <c r="X50" s="1304"/>
      <c r="Y50" s="1304"/>
      <c r="Z50" s="1304"/>
      <c r="AA50" s="1304"/>
      <c r="AB50" s="1304"/>
      <c r="AC50" s="1304"/>
      <c r="AD50" s="1304"/>
      <c r="AE50" s="1304"/>
      <c r="AF50" s="1304"/>
      <c r="AG50" s="1304"/>
      <c r="AH50" s="1304"/>
      <c r="AI50" s="1304"/>
      <c r="AJ50" s="1304"/>
      <c r="AK50" s="1305"/>
      <c r="AM50" s="1540"/>
      <c r="AN50" s="1540" t="str">
        <f t="shared" si="1"/>
        <v>Добавить группу потребителей</v>
      </c>
      <c r="AO50" s="1540"/>
      <c r="AP50" s="1540"/>
      <c r="AQ50" s="1552">
        <v>1</v>
      </c>
    </row>
    <row r="51" spans="1:43" s="2335" customFormat="1" ht="1.1499999999999999" customHeight="1">
      <c r="A51" s="1291" t="s">
        <v>205</v>
      </c>
      <c r="B51" s="1291" t="s">
        <v>206</v>
      </c>
      <c r="C51" s="1291" t="s">
        <v>207</v>
      </c>
      <c r="D51" s="1291" t="s">
        <v>208</v>
      </c>
      <c r="E51" s="2590"/>
      <c r="F51" s="2590"/>
      <c r="G51" s="2590"/>
      <c r="H51" s="2589"/>
      <c r="I51" s="1291"/>
      <c r="J51" s="1291"/>
      <c r="K51" s="1291"/>
      <c r="L51" s="1297"/>
      <c r="M51" s="1294"/>
      <c r="N51" s="1294"/>
      <c r="O51" s="287"/>
      <c r="P51" s="316"/>
      <c r="Q51" s="1260"/>
      <c r="R51" s="1316"/>
      <c r="S51" s="1302"/>
      <c r="T51" s="1303"/>
      <c r="U51" s="1304"/>
      <c r="V51" s="1304"/>
      <c r="W51" s="1304"/>
      <c r="X51" s="1304"/>
      <c r="Y51" s="1304"/>
      <c r="Z51" s="1304"/>
      <c r="AA51" s="1304"/>
      <c r="AB51" s="1304"/>
      <c r="AC51" s="1304"/>
      <c r="AD51" s="1304"/>
      <c r="AE51" s="1304"/>
      <c r="AF51" s="1304"/>
      <c r="AG51" s="1304"/>
      <c r="AH51" s="1304"/>
      <c r="AI51" s="1304"/>
      <c r="AJ51" s="1304"/>
      <c r="AK51" s="1305"/>
      <c r="AL51" s="1552"/>
      <c r="AM51" s="1540"/>
      <c r="AN51" s="1540" t="str">
        <f t="shared" si="1"/>
        <v/>
      </c>
      <c r="AO51" s="1540"/>
      <c r="AP51" s="1540"/>
      <c r="AQ51" s="1557">
        <v>1</v>
      </c>
    </row>
    <row r="52" spans="1:43" s="2344" customFormat="1" ht="1.1499999999999999" customHeight="1">
      <c r="A52" s="1291" t="s">
        <v>205</v>
      </c>
      <c r="B52" s="1291" t="s">
        <v>206</v>
      </c>
      <c r="C52" s="1291" t="s">
        <v>207</v>
      </c>
      <c r="D52" s="1290"/>
      <c r="E52" s="2590"/>
      <c r="F52" s="2590"/>
      <c r="G52" s="2589"/>
      <c r="H52" s="1290"/>
      <c r="I52" s="1290"/>
      <c r="J52" s="1290"/>
      <c r="K52" s="1290"/>
      <c r="L52" s="1293"/>
      <c r="M52" s="1294"/>
      <c r="N52" s="1294"/>
      <c r="O52" s="287"/>
      <c r="P52" s="1232"/>
      <c r="Q52" s="1233"/>
      <c r="R52" s="1232"/>
      <c r="S52" s="1238"/>
      <c r="T52" s="1241" t="s">
        <v>413</v>
      </c>
      <c r="U52" s="1240"/>
      <c r="V52" s="1240"/>
      <c r="W52" s="1240"/>
      <c r="X52" s="1240"/>
      <c r="Y52" s="1240"/>
      <c r="Z52" s="1240"/>
      <c r="AA52" s="1240"/>
      <c r="AB52" s="1240"/>
      <c r="AC52" s="1240"/>
      <c r="AD52" s="1240"/>
      <c r="AE52" s="1240"/>
      <c r="AF52" s="1240"/>
      <c r="AG52" s="1240"/>
      <c r="AH52" s="1240"/>
      <c r="AI52" s="1240"/>
      <c r="AJ52" s="1240"/>
      <c r="AK52" s="1240"/>
      <c r="AM52" s="1167"/>
      <c r="AN52" s="1167" t="str">
        <f t="shared" si="1"/>
        <v>Добавить источник для дифференциации</v>
      </c>
      <c r="AO52" s="1167"/>
      <c r="AP52" s="1167"/>
      <c r="AQ52" s="1558">
        <v>1</v>
      </c>
    </row>
    <row r="53" spans="1:43" s="2344" customFormat="1" ht="1.1499999999999999" customHeight="1">
      <c r="A53" s="1291" t="s">
        <v>205</v>
      </c>
      <c r="B53" s="1291" t="s">
        <v>206</v>
      </c>
      <c r="C53" s="1290"/>
      <c r="D53" s="1290"/>
      <c r="E53" s="2590"/>
      <c r="F53" s="2589"/>
      <c r="G53" s="1290"/>
      <c r="H53" s="1290"/>
      <c r="I53" s="1290"/>
      <c r="J53" s="1290"/>
      <c r="K53" s="1290"/>
      <c r="L53" s="1293"/>
      <c r="M53" s="1295"/>
      <c r="N53" s="1295"/>
      <c r="O53" s="287"/>
      <c r="P53" s="1232"/>
      <c r="Q53" s="1233"/>
      <c r="R53" s="1232"/>
      <c r="S53" s="1238"/>
      <c r="T53" s="1241" t="s">
        <v>414</v>
      </c>
      <c r="U53" s="1240"/>
      <c r="V53" s="1240"/>
      <c r="W53" s="1240"/>
      <c r="X53" s="1240"/>
      <c r="Y53" s="1240"/>
      <c r="Z53" s="1240"/>
      <c r="AA53" s="1240"/>
      <c r="AB53" s="1240"/>
      <c r="AC53" s="1240"/>
      <c r="AD53" s="1240"/>
      <c r="AE53" s="1240"/>
      <c r="AF53" s="1240"/>
      <c r="AG53" s="1240"/>
      <c r="AH53" s="1240"/>
      <c r="AI53" s="1240"/>
      <c r="AJ53" s="1240"/>
      <c r="AK53" s="1240"/>
      <c r="AM53" s="1167"/>
      <c r="AN53" s="1167" t="str">
        <f t="shared" si="1"/>
        <v>Добавить централизованную систему для дифференциации</v>
      </c>
      <c r="AO53" s="1167"/>
      <c r="AP53" s="1167"/>
      <c r="AQ53" s="1558">
        <v>1</v>
      </c>
    </row>
    <row r="54" spans="1:43" s="2344" customFormat="1" ht="1.1499999999999999" customHeight="1">
      <c r="A54" s="1291" t="s">
        <v>205</v>
      </c>
      <c r="B54" s="1291"/>
      <c r="C54" s="1291"/>
      <c r="D54" s="1291"/>
      <c r="E54" s="2590"/>
      <c r="F54" s="1291"/>
      <c r="G54" s="1291"/>
      <c r="H54" s="1291"/>
      <c r="I54" s="1291"/>
      <c r="J54" s="1291"/>
      <c r="K54" s="1291"/>
      <c r="L54" s="1297"/>
      <c r="M54" s="1295"/>
      <c r="N54" s="1295"/>
      <c r="O54" s="287"/>
      <c r="P54" s="316"/>
      <c r="Q54" s="1260"/>
      <c r="R54" s="316"/>
      <c r="S54" s="1238"/>
      <c r="T54" s="1241" t="s">
        <v>415</v>
      </c>
      <c r="U54" s="1240"/>
      <c r="V54" s="1240"/>
      <c r="W54" s="1240"/>
      <c r="X54" s="1240"/>
      <c r="Y54" s="1240"/>
      <c r="Z54" s="1240"/>
      <c r="AA54" s="1240"/>
      <c r="AB54" s="1240"/>
      <c r="AC54" s="1240"/>
      <c r="AD54" s="1240"/>
      <c r="AE54" s="1240"/>
      <c r="AF54" s="1240"/>
      <c r="AG54" s="1240"/>
      <c r="AH54" s="1240"/>
      <c r="AI54" s="1240"/>
      <c r="AJ54" s="1240"/>
      <c r="AK54" s="1240"/>
      <c r="AM54" s="1540"/>
      <c r="AN54" s="1540" t="str">
        <f t="shared" si="1"/>
        <v>Добавить территорию для дифференциации</v>
      </c>
      <c r="AO54" s="1540"/>
      <c r="AP54" s="1540"/>
      <c r="AQ54" s="1552">
        <v>1</v>
      </c>
    </row>
    <row r="55" spans="1:43" s="2344" customFormat="1" ht="1.1499999999999999" customHeight="1">
      <c r="A55" s="1291" t="s">
        <v>205</v>
      </c>
      <c r="B55" s="1291"/>
      <c r="C55" s="1291"/>
      <c r="D55" s="1291"/>
      <c r="E55" s="2589"/>
      <c r="F55" s="1291"/>
      <c r="G55" s="1291"/>
      <c r="H55" s="1291"/>
      <c r="I55" s="1291"/>
      <c r="J55" s="1291"/>
      <c r="K55" s="1291"/>
      <c r="L55" s="1297"/>
      <c r="M55" s="1295"/>
      <c r="N55" s="1295"/>
      <c r="O55" s="287"/>
      <c r="P55" s="316"/>
      <c r="Q55" s="1260"/>
      <c r="R55" s="316"/>
      <c r="S55" s="1238"/>
      <c r="T55" s="1241" t="s">
        <v>415</v>
      </c>
      <c r="U55" s="1240"/>
      <c r="V55" s="1240"/>
      <c r="W55" s="1240"/>
      <c r="X55" s="1240"/>
      <c r="Y55" s="1240"/>
      <c r="Z55" s="1240"/>
      <c r="AA55" s="1240"/>
      <c r="AB55" s="1240"/>
      <c r="AC55" s="1240"/>
      <c r="AD55" s="1240"/>
      <c r="AE55" s="1240"/>
      <c r="AF55" s="1240"/>
      <c r="AG55" s="1240"/>
      <c r="AH55" s="1240"/>
      <c r="AI55" s="1240"/>
      <c r="AJ55" s="1240"/>
      <c r="AK55" s="1240"/>
      <c r="AM55" s="1540"/>
      <c r="AN55" s="1540" t="str">
        <f t="shared" si="1"/>
        <v>Добавить территорию для дифференциации</v>
      </c>
      <c r="AO55" s="1540"/>
      <c r="AP55" s="1540"/>
      <c r="AQ55" s="1552">
        <v>1</v>
      </c>
    </row>
    <row r="56" spans="1:43" s="2344" customFormat="1" ht="1.1499999999999999" customHeight="1">
      <c r="A56" s="1290"/>
      <c r="B56" s="1290"/>
      <c r="C56" s="1290"/>
      <c r="D56" s="1290"/>
      <c r="E56" s="1291"/>
      <c r="F56" s="1290"/>
      <c r="G56" s="1290"/>
      <c r="H56" s="1290"/>
      <c r="I56" s="1290"/>
      <c r="J56" s="1290"/>
      <c r="K56" s="1290"/>
      <c r="L56" s="1293"/>
      <c r="M56" s="1295"/>
      <c r="N56" s="1295"/>
      <c r="O56" s="287"/>
      <c r="P56" s="1232"/>
      <c r="Q56" s="1233"/>
      <c r="R56" s="1232"/>
      <c r="S56" s="1238"/>
      <c r="T56" s="1241" t="s">
        <v>447</v>
      </c>
      <c r="U56" s="1240"/>
      <c r="V56" s="1240"/>
      <c r="W56" s="1240"/>
      <c r="X56" s="1240"/>
      <c r="Y56" s="1240"/>
      <c r="Z56" s="1240"/>
      <c r="AA56" s="1240"/>
      <c r="AB56" s="1240"/>
      <c r="AC56" s="1240"/>
      <c r="AD56" s="1240"/>
      <c r="AE56" s="1240"/>
      <c r="AF56" s="1240"/>
      <c r="AG56" s="1240"/>
      <c r="AH56" s="1240"/>
      <c r="AI56" s="1240"/>
      <c r="AJ56" s="1240"/>
      <c r="AK56" s="1240"/>
      <c r="AM56" s="1167"/>
      <c r="AN56" s="1167" t="str">
        <f t="shared" si="1"/>
        <v>Добавить наименование тарифа</v>
      </c>
      <c r="AO56" s="1167"/>
      <c r="AP56" s="1167"/>
      <c r="AQ56" s="1558">
        <v>1</v>
      </c>
    </row>
    <row r="57" spans="1:43" ht="11.45" customHeight="1">
      <c r="M57" s="1547"/>
      <c r="N57" s="1547"/>
      <c r="O57" s="1551"/>
      <c r="P57" s="1282"/>
      <c r="Q57" s="1282"/>
      <c r="R57" s="1547"/>
      <c r="S57" s="1547"/>
      <c r="AL57" s="1547"/>
      <c r="AM57" s="1547"/>
      <c r="AN57" s="1547"/>
      <c r="AO57" s="1547"/>
      <c r="AP57" s="1547"/>
      <c r="AQ57" s="1547">
        <v>11</v>
      </c>
    </row>
    <row r="58" spans="1:43" ht="19.899999999999999" customHeight="1">
      <c r="O58" s="1551"/>
      <c r="S58" s="1169"/>
      <c r="T58" s="2562"/>
      <c r="U58" s="2562"/>
      <c r="V58" s="2562"/>
      <c r="W58" s="2562"/>
      <c r="X58" s="2562"/>
      <c r="Y58" s="2562"/>
      <c r="Z58" s="2562"/>
      <c r="AA58" s="2562"/>
      <c r="AB58" s="2562"/>
      <c r="AC58" s="2562"/>
      <c r="AD58" s="2562"/>
      <c r="AE58" s="2562"/>
      <c r="AF58" s="2562"/>
      <c r="AG58" s="2562"/>
      <c r="AH58" s="2562"/>
      <c r="AI58" s="2562"/>
      <c r="AJ58" s="2562"/>
      <c r="AK58" s="2562"/>
      <c r="AQ58" s="1547">
        <v>19</v>
      </c>
    </row>
    <row r="59" spans="1:43" ht="21" customHeight="1">
      <c r="O59" s="1551"/>
      <c r="T59" s="2562"/>
      <c r="U59" s="2562"/>
      <c r="V59" s="2562"/>
      <c r="W59" s="2562"/>
      <c r="X59" s="2562"/>
      <c r="Y59" s="2562"/>
      <c r="Z59" s="2562"/>
      <c r="AA59" s="2562"/>
      <c r="AB59" s="2562"/>
      <c r="AC59" s="2562"/>
      <c r="AD59" s="2562"/>
      <c r="AE59" s="2562"/>
      <c r="AF59" s="2562"/>
      <c r="AG59" s="2562"/>
      <c r="AH59" s="2562"/>
      <c r="AI59" s="2562"/>
      <c r="AJ59" s="2562"/>
      <c r="AK59" s="2562"/>
      <c r="AQ59" s="1547">
        <v>20</v>
      </c>
    </row>
    <row r="60" spans="1:43" ht="14.65" customHeight="1">
      <c r="O60" s="1551"/>
      <c r="T60" s="1862"/>
      <c r="U60" s="1862"/>
      <c r="V60" s="1862"/>
      <c r="W60" s="1862"/>
      <c r="X60" s="1862"/>
      <c r="Y60" s="1862"/>
      <c r="Z60" s="1862"/>
      <c r="AA60" s="1862"/>
      <c r="AB60" s="1862"/>
      <c r="AC60" s="1862"/>
      <c r="AD60" s="1862"/>
      <c r="AE60" s="1862"/>
      <c r="AF60" s="1862"/>
      <c r="AG60" s="1862"/>
      <c r="AH60" s="1862"/>
      <c r="AI60" s="1862"/>
      <c r="AJ60" s="1862"/>
      <c r="AK60" s="1862"/>
      <c r="AQ60" s="1547">
        <v>14</v>
      </c>
    </row>
    <row r="61" spans="1:43" ht="19.899999999999999" customHeight="1">
      <c r="O61" s="1551"/>
      <c r="T61" s="2562"/>
      <c r="U61" s="2562"/>
      <c r="V61" s="2562"/>
      <c r="W61" s="2562"/>
      <c r="X61" s="2562"/>
      <c r="Y61" s="2562"/>
      <c r="Z61" s="2562"/>
      <c r="AA61" s="2562"/>
      <c r="AB61" s="2562"/>
      <c r="AC61" s="2562"/>
      <c r="AD61" s="2562"/>
      <c r="AE61" s="2562"/>
      <c r="AF61" s="2562"/>
      <c r="AG61" s="2562"/>
      <c r="AH61" s="2562"/>
      <c r="AI61" s="2562"/>
      <c r="AJ61" s="2562"/>
      <c r="AK61" s="2562"/>
      <c r="AQ61" s="1547">
        <v>19</v>
      </c>
    </row>
    <row r="62" spans="1:43" ht="16.899999999999999" customHeight="1">
      <c r="O62" s="1551"/>
      <c r="T62" s="2562"/>
      <c r="U62" s="2562"/>
      <c r="V62" s="2562"/>
      <c r="W62" s="2562"/>
      <c r="X62" s="2562"/>
      <c r="Y62" s="2562"/>
      <c r="Z62" s="2562"/>
      <c r="AA62" s="2562"/>
      <c r="AB62" s="2562"/>
      <c r="AC62" s="2562"/>
      <c r="AD62" s="2562"/>
      <c r="AE62" s="2562"/>
      <c r="AF62" s="2562"/>
      <c r="AG62" s="2562"/>
      <c r="AH62" s="2562"/>
      <c r="AI62" s="2562"/>
      <c r="AJ62" s="2562"/>
      <c r="AK62" s="2562"/>
      <c r="AQ62" s="1547">
        <v>16</v>
      </c>
    </row>
    <row r="63" spans="1:43" ht="14.65" customHeight="1">
      <c r="O63" s="1551"/>
      <c r="AQ63" s="1547">
        <v>14</v>
      </c>
    </row>
    <row r="64" spans="1:43" ht="22.5" hidden="1" customHeight="1">
      <c r="A64" s="1547" t="s">
        <v>82</v>
      </c>
      <c r="B64" s="1547">
        <v>0</v>
      </c>
      <c r="C64" s="1547">
        <v>0</v>
      </c>
      <c r="D64" s="1547">
        <v>0</v>
      </c>
      <c r="E64" s="1547">
        <v>0</v>
      </c>
      <c r="F64" s="1547">
        <v>0</v>
      </c>
      <c r="G64" s="1547">
        <v>0</v>
      </c>
      <c r="H64" s="1547">
        <v>0</v>
      </c>
      <c r="I64" s="1547">
        <v>0</v>
      </c>
      <c r="J64" s="1547">
        <v>0</v>
      </c>
      <c r="K64" s="1547">
        <v>0</v>
      </c>
      <c r="L64" s="1848">
        <v>0</v>
      </c>
      <c r="M64" s="1874">
        <v>0</v>
      </c>
      <c r="N64" s="1874">
        <v>0</v>
      </c>
      <c r="O64" s="1874">
        <v>0</v>
      </c>
      <c r="P64" s="1278">
        <v>3</v>
      </c>
      <c r="Q64" s="1287">
        <v>3</v>
      </c>
      <c r="R64" s="281">
        <v>3</v>
      </c>
      <c r="S64" s="517">
        <v>12</v>
      </c>
      <c r="T64" s="1547">
        <v>31</v>
      </c>
      <c r="U64" s="1547">
        <v>0</v>
      </c>
      <c r="V64" s="1547">
        <v>0</v>
      </c>
      <c r="W64" s="1547">
        <v>0</v>
      </c>
      <c r="X64" s="1547">
        <v>0</v>
      </c>
      <c r="Y64" s="1547">
        <v>0</v>
      </c>
      <c r="Z64" s="1547">
        <v>0</v>
      </c>
      <c r="AA64" s="1547">
        <v>0</v>
      </c>
      <c r="AB64" s="1547">
        <v>27</v>
      </c>
      <c r="AC64" s="1547">
        <v>24</v>
      </c>
      <c r="AD64" s="1547">
        <v>21</v>
      </c>
      <c r="AE64" s="1547">
        <v>21</v>
      </c>
      <c r="AF64" s="1547">
        <v>11</v>
      </c>
      <c r="AG64" s="1547">
        <v>3</v>
      </c>
      <c r="AH64" s="1547">
        <v>11</v>
      </c>
      <c r="AI64" s="1547">
        <v>8</v>
      </c>
      <c r="AJ64" s="1547">
        <v>4</v>
      </c>
      <c r="AK64" s="1547">
        <v>115</v>
      </c>
      <c r="AL64" s="1552">
        <v>10</v>
      </c>
      <c r="AM64" s="1552">
        <v>10</v>
      </c>
      <c r="AN64" s="1552">
        <v>10</v>
      </c>
      <c r="AO64" s="1552">
        <v>10</v>
      </c>
      <c r="AP64" s="1552">
        <v>10</v>
      </c>
      <c r="AQ64" s="154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57" hidden="1" customWidth="1"/>
    <col min="2" max="2" width="11" style="2357" hidden="1" customWidth="1"/>
    <col min="3" max="3" width="10.5703125" style="2357" hidden="1"/>
    <col min="4" max="4" width="12.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7109375" style="2336" hidden="1" customWidth="1"/>
    <col min="17" max="17" width="3.7109375" style="2339" hidden="1" customWidth="1"/>
    <col min="18" max="18" width="3" style="2359" customWidth="1"/>
    <col min="19" max="19" width="12" style="2387" customWidth="1"/>
    <col min="20" max="20" width="31" style="2360" customWidth="1"/>
    <col min="21" max="21" width="0.140625" style="2360" customWidth="1"/>
    <col min="22" max="25" width="21.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3.7109375" style="2360" customWidth="1"/>
    <col min="31" max="32" width="3" style="2360" customWidth="1"/>
    <col min="33" max="33" width="24" style="2360" customWidth="1"/>
    <col min="34" max="34" width="3.7109375" style="2360" customWidth="1"/>
    <col min="35" max="36" width="3" style="2360" customWidth="1"/>
    <col min="37" max="37" width="24" style="2360" customWidth="1"/>
    <col min="38" max="38" width="3.7109375" style="2360" customWidth="1"/>
    <col min="39" max="40" width="3" style="2360" customWidth="1"/>
    <col min="41" max="41" width="18" style="2360" customWidth="1"/>
    <col min="42" max="42" width="3.7109375" style="2360" customWidth="1"/>
    <col min="43" max="44" width="3" style="2360" customWidth="1"/>
    <col min="45" max="45" width="18" style="2360" customWidth="1"/>
    <col min="46" max="49" width="21" style="2360" customWidth="1"/>
    <col min="50" max="50" width="11" style="2360" customWidth="1"/>
    <col min="51" max="51" width="3.7109375" style="2360" customWidth="1"/>
    <col min="52" max="52" width="11" style="2360" customWidth="1"/>
    <col min="53" max="53" width="8.5703125" style="2360" hidden="1" customWidth="1"/>
    <col min="54" max="54" width="4" style="2360" customWidth="1"/>
    <col min="55" max="55" width="115" style="2360" customWidth="1"/>
    <col min="56" max="60" width="10" style="2344" customWidth="1"/>
    <col min="61" max="61" width="10.5703125" style="2360" hidden="1"/>
  </cols>
  <sheetData>
    <row r="1" spans="1:61" ht="22.5" hidden="1" customHeight="1">
      <c r="W1" s="264"/>
      <c r="Y1" s="264"/>
      <c r="Z1" s="264"/>
      <c r="AW1" s="264"/>
      <c r="AX1" s="264"/>
      <c r="BI1" s="1071" t="s">
        <v>14</v>
      </c>
    </row>
    <row r="2" spans="1:61" ht="21" hidden="1" customHeight="1">
      <c r="A2" s="1279"/>
      <c r="B2" s="1279"/>
      <c r="C2" s="1279"/>
      <c r="D2" s="1279"/>
      <c r="E2" s="2563">
        <v>1</v>
      </c>
      <c r="F2" s="1279"/>
      <c r="G2" s="1279"/>
      <c r="H2" s="1279"/>
      <c r="I2" s="1279"/>
      <c r="J2" s="1279"/>
      <c r="K2" s="1279"/>
      <c r="L2" s="1280"/>
      <c r="M2" s="1281"/>
      <c r="N2" s="1281"/>
      <c r="O2" s="1281"/>
      <c r="P2" s="1325"/>
      <c r="Q2" s="799"/>
      <c r="R2" s="291"/>
      <c r="S2" s="1381" t="e">
        <f>INDEX(PT_DIFFERENTIATION_NUM_NTAR,MATCH(A2,PT_DIFFERENTIATION_NTAR_ID,0))</f>
        <v>#N/A</v>
      </c>
      <c r="T2" s="235" t="s">
        <v>124</v>
      </c>
      <c r="U2" s="237"/>
      <c r="V2" s="2558"/>
      <c r="W2" s="2558"/>
      <c r="X2" s="2558"/>
      <c r="Y2" s="2558"/>
      <c r="Z2" s="2558"/>
      <c r="AA2" s="2558"/>
      <c r="AB2" s="2558"/>
      <c r="AC2" s="2559"/>
      <c r="AD2" s="2557" t="e">
        <f>INDEX(PT_DIFFERENTIATION_NTAR,MATCH(A2,PT_DIFFERENTIATION_NTAR_ID,0))</f>
        <v>#N/A</v>
      </c>
      <c r="AE2" s="2558"/>
      <c r="AF2" s="2558"/>
      <c r="AG2" s="2558"/>
      <c r="AH2" s="2558"/>
      <c r="AI2" s="2558"/>
      <c r="AJ2" s="2558"/>
      <c r="AK2" s="2558"/>
      <c r="AL2" s="2558"/>
      <c r="AM2" s="2558"/>
      <c r="AN2" s="2558"/>
      <c r="AO2" s="2558"/>
      <c r="AP2" s="2558"/>
      <c r="AQ2" s="2558"/>
      <c r="AR2" s="2558"/>
      <c r="AS2" s="2558"/>
      <c r="AT2" s="2558"/>
      <c r="AU2" s="2558"/>
      <c r="AV2" s="2558"/>
      <c r="AW2" s="2558"/>
      <c r="AX2" s="2558"/>
      <c r="AY2" s="2558"/>
      <c r="AZ2" s="2558"/>
      <c r="BA2" s="2558"/>
      <c r="BB2" s="2559"/>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564"/>
      <c r="F3" s="2563">
        <v>1</v>
      </c>
      <c r="G3" s="1279"/>
      <c r="H3" s="1279"/>
      <c r="I3" s="1279"/>
      <c r="J3" s="1279"/>
      <c r="K3" s="1279"/>
      <c r="L3" s="1280"/>
      <c r="M3" s="1281"/>
      <c r="N3" s="1281"/>
      <c r="O3" s="1281"/>
      <c r="P3" s="1326"/>
      <c r="Q3" s="1327"/>
      <c r="R3" s="289"/>
      <c r="S3" s="1381" t="e">
        <f>INDEX(PT_DIFFERENTIATION_NUM_TER,MATCH(B3,PT_DIFFERENTIATION_TER_ID,0))</f>
        <v>#N/A</v>
      </c>
      <c r="T3" s="245" t="s">
        <v>396</v>
      </c>
      <c r="U3" s="237"/>
      <c r="V3" s="2558"/>
      <c r="W3" s="2558"/>
      <c r="X3" s="2558"/>
      <c r="Y3" s="2558"/>
      <c r="Z3" s="2558"/>
      <c r="AA3" s="2558"/>
      <c r="AB3" s="2558"/>
      <c r="AC3" s="2559"/>
      <c r="AD3" s="2557" t="e">
        <f>INDEX(PT_DIFFERENTIATION_TER,MATCH(B3,PT_DIFFERENTIATION_TER_ID,0))</f>
        <v>#N/A</v>
      </c>
      <c r="AE3" s="2558"/>
      <c r="AF3" s="2558"/>
      <c r="AG3" s="2558"/>
      <c r="AH3" s="2558"/>
      <c r="AI3" s="2558"/>
      <c r="AJ3" s="2558"/>
      <c r="AK3" s="2558"/>
      <c r="AL3" s="2558"/>
      <c r="AM3" s="2558"/>
      <c r="AN3" s="2558"/>
      <c r="AO3" s="2558"/>
      <c r="AP3" s="2558"/>
      <c r="AQ3" s="2558"/>
      <c r="AR3" s="2558"/>
      <c r="AS3" s="2558"/>
      <c r="AT3" s="2558"/>
      <c r="AU3" s="2558"/>
      <c r="AV3" s="2558"/>
      <c r="AW3" s="2558"/>
      <c r="AX3" s="2558"/>
      <c r="AY3" s="2558"/>
      <c r="AZ3" s="2558"/>
      <c r="BA3" s="2558"/>
      <c r="BB3" s="2559"/>
      <c r="BC3" s="1174" t="s">
        <v>397</v>
      </c>
      <c r="BE3" s="436"/>
      <c r="BF3" s="436" t="str">
        <f t="shared" si="0"/>
        <v>Территория действия тарифа</v>
      </c>
      <c r="BG3" s="436"/>
      <c r="BH3" s="436"/>
      <c r="BI3" s="1071">
        <v>0</v>
      </c>
    </row>
    <row r="4" spans="1:61" ht="42" hidden="1" customHeight="1">
      <c r="A4" s="1279"/>
      <c r="B4" s="1279"/>
      <c r="C4" s="1279"/>
      <c r="D4" s="1279"/>
      <c r="E4" s="2564"/>
      <c r="F4" s="2564"/>
      <c r="G4" s="2563">
        <v>1</v>
      </c>
      <c r="H4" s="1279"/>
      <c r="I4" s="1279"/>
      <c r="J4" s="1279"/>
      <c r="K4" s="1279"/>
      <c r="L4" s="1280"/>
      <c r="M4" s="1281"/>
      <c r="N4" s="1281"/>
      <c r="O4" s="1281"/>
      <c r="P4" s="1328"/>
      <c r="Q4" s="1327"/>
      <c r="R4" s="289"/>
      <c r="S4" s="1381" t="e">
        <f>INDEX(PT_DIFFERENTIATION_NUM_CS,MATCH(C4,PT_DIFFERENTIATION_CS_ID,0))</f>
        <v>#N/A</v>
      </c>
      <c r="T4" s="246" t="s">
        <v>480</v>
      </c>
      <c r="U4" s="237"/>
      <c r="V4" s="2558"/>
      <c r="W4" s="2558"/>
      <c r="X4" s="2558"/>
      <c r="Y4" s="2558"/>
      <c r="Z4" s="2558"/>
      <c r="AA4" s="2558"/>
      <c r="AB4" s="2558"/>
      <c r="AC4" s="2559"/>
      <c r="AD4" s="2557" t="e">
        <f>INDEX(PT_DIFFERENTIATION_CS,MATCH(C4,PT_DIFFERENTIATION_CS_ID,0))</f>
        <v>#N/A</v>
      </c>
      <c r="AE4" s="2558"/>
      <c r="AF4" s="2558"/>
      <c r="AG4" s="2558"/>
      <c r="AH4" s="2558"/>
      <c r="AI4" s="2558"/>
      <c r="AJ4" s="2558"/>
      <c r="AK4" s="2558"/>
      <c r="AL4" s="2558"/>
      <c r="AM4" s="2558"/>
      <c r="AN4" s="2558"/>
      <c r="AO4" s="2558"/>
      <c r="AP4" s="2558"/>
      <c r="AQ4" s="2558"/>
      <c r="AR4" s="2558"/>
      <c r="AS4" s="2558"/>
      <c r="AT4" s="2558"/>
      <c r="AU4" s="2558"/>
      <c r="AV4" s="2558"/>
      <c r="AW4" s="2558"/>
      <c r="AX4" s="2558"/>
      <c r="AY4" s="2558"/>
      <c r="AZ4" s="2558"/>
      <c r="BA4" s="2558"/>
      <c r="BB4" s="2559"/>
      <c r="BC4" s="1174" t="s">
        <v>481</v>
      </c>
      <c r="BE4" s="436"/>
      <c r="BF4" s="436" t="str">
        <f t="shared" si="0"/>
        <v>Наименование централизованной системы холодного водоснабжения</v>
      </c>
      <c r="BG4" s="436"/>
      <c r="BH4" s="436"/>
      <c r="BI4" s="1071">
        <v>0</v>
      </c>
    </row>
    <row r="5" spans="1:61" s="2344" customFormat="1" ht="14.25" hidden="1" customHeight="1">
      <c r="A5" s="1259"/>
      <c r="B5" s="1259"/>
      <c r="C5" s="1259"/>
      <c r="D5" s="1259"/>
      <c r="E5" s="2564"/>
      <c r="F5" s="2564"/>
      <c r="G5" s="2564"/>
      <c r="H5" s="2563">
        <v>1</v>
      </c>
      <c r="I5" s="1259"/>
      <c r="J5" s="1259"/>
      <c r="K5" s="1259"/>
      <c r="L5" s="1262"/>
      <c r="M5" s="1231"/>
      <c r="N5" s="1231"/>
      <c r="O5" s="1231"/>
      <c r="P5" s="1413"/>
      <c r="Q5" s="1414"/>
      <c r="R5" s="293"/>
      <c r="S5" s="964"/>
      <c r="T5" s="1415"/>
      <c r="U5" s="1300"/>
      <c r="V5" s="2595"/>
      <c r="W5" s="2595"/>
      <c r="X5" s="2595"/>
      <c r="Y5" s="2595"/>
      <c r="Z5" s="2595"/>
      <c r="AA5" s="2595"/>
      <c r="AB5" s="2595"/>
      <c r="AC5" s="2596"/>
      <c r="AD5" s="2594"/>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6"/>
      <c r="BC5" s="1301" t="s">
        <v>401</v>
      </c>
      <c r="BE5" s="436"/>
      <c r="BF5" s="436" t="str">
        <f t="shared" si="0"/>
        <v/>
      </c>
      <c r="BG5" s="436"/>
      <c r="BH5" s="436"/>
      <c r="BI5" s="447">
        <v>0</v>
      </c>
    </row>
    <row r="6" spans="1:61" s="2344" customFormat="1" ht="14.25" hidden="1" customHeight="1">
      <c r="A6" s="1259"/>
      <c r="B6" s="1259"/>
      <c r="C6" s="1259"/>
      <c r="D6" s="1259"/>
      <c r="E6" s="2564"/>
      <c r="F6" s="2564"/>
      <c r="G6" s="2564"/>
      <c r="H6" s="2564"/>
      <c r="I6" s="2565" t="str">
        <f>S5&amp;".1"</f>
        <v>.1</v>
      </c>
      <c r="J6" s="1259"/>
      <c r="K6" s="1259"/>
      <c r="L6" s="1262" t="s">
        <v>402</v>
      </c>
      <c r="M6" s="446"/>
      <c r="N6" s="446"/>
      <c r="O6" s="446"/>
      <c r="P6" s="2567">
        <v>1</v>
      </c>
      <c r="Q6" s="1378"/>
      <c r="R6" s="292"/>
      <c r="S6" s="964"/>
      <c r="T6" s="1299"/>
      <c r="U6" s="1300"/>
      <c r="V6" s="2595"/>
      <c r="W6" s="2595"/>
      <c r="X6" s="2595"/>
      <c r="Y6" s="2595"/>
      <c r="Z6" s="2595"/>
      <c r="AA6" s="2595"/>
      <c r="AB6" s="2595"/>
      <c r="AC6" s="2596"/>
      <c r="AD6" s="2594"/>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6"/>
      <c r="BC6" s="1301"/>
      <c r="BE6" s="436"/>
      <c r="BF6" s="436" t="str">
        <f t="shared" si="0"/>
        <v/>
      </c>
      <c r="BG6" s="436"/>
      <c r="BH6" s="436"/>
      <c r="BI6" s="447">
        <v>0</v>
      </c>
    </row>
    <row r="7" spans="1:61" s="2344" customFormat="1" ht="14.25" hidden="1" customHeight="1">
      <c r="A7" s="1259"/>
      <c r="B7" s="1259"/>
      <c r="C7" s="1259"/>
      <c r="D7" s="1259"/>
      <c r="E7" s="2564"/>
      <c r="F7" s="2564"/>
      <c r="G7" s="2564"/>
      <c r="H7" s="2564"/>
      <c r="I7" s="2566"/>
      <c r="J7" s="2565" t="str">
        <f>S5&amp;".1"</f>
        <v>.1</v>
      </c>
      <c r="K7" s="1259"/>
      <c r="L7" s="1262"/>
      <c r="M7" s="446"/>
      <c r="N7" s="446"/>
      <c r="O7" s="446"/>
      <c r="P7" s="2567"/>
      <c r="Q7" s="2567">
        <v>1</v>
      </c>
      <c r="R7" s="293"/>
      <c r="S7" s="964"/>
      <c r="T7" s="1315"/>
      <c r="U7" s="1300"/>
      <c r="V7" s="2595"/>
      <c r="W7" s="2595"/>
      <c r="X7" s="2595"/>
      <c r="Y7" s="2595"/>
      <c r="Z7" s="2595"/>
      <c r="AA7" s="2595"/>
      <c r="AB7" s="2595"/>
      <c r="AC7" s="2596"/>
      <c r="AD7" s="2594"/>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6"/>
      <c r="BC7" s="1301"/>
      <c r="BE7" s="436"/>
      <c r="BF7" s="436" t="str">
        <f t="shared" si="0"/>
        <v/>
      </c>
      <c r="BG7" s="436"/>
      <c r="BH7" s="436"/>
      <c r="BI7" s="447">
        <v>0</v>
      </c>
    </row>
    <row r="8" spans="1:61" ht="11.25" hidden="1" customHeight="1">
      <c r="A8" s="1279"/>
      <c r="B8" s="1279"/>
      <c r="C8" s="1279"/>
      <c r="D8" s="1279"/>
      <c r="E8" s="2564"/>
      <c r="F8" s="2564"/>
      <c r="G8" s="2564"/>
      <c r="H8" s="2564"/>
      <c r="I8" s="2566"/>
      <c r="J8" s="2566"/>
      <c r="K8" s="2565" t="e">
        <f>S4&amp;".1"</f>
        <v>#N/A</v>
      </c>
      <c r="L8" s="1280"/>
      <c r="P8" s="2567"/>
      <c r="Q8" s="2567"/>
      <c r="R8" s="2623">
        <v>1</v>
      </c>
      <c r="S8" s="2620" t="e">
        <f>$K8</f>
        <v>#N/A</v>
      </c>
      <c r="T8" s="2640"/>
      <c r="U8" s="237"/>
      <c r="V8" s="687"/>
      <c r="W8" s="1173"/>
      <c r="X8" s="687"/>
      <c r="Y8" s="1173"/>
      <c r="Z8" s="1649"/>
      <c r="AA8" s="1375" t="s">
        <v>62</v>
      </c>
      <c r="AB8" s="1649"/>
      <c r="AC8" s="1375" t="s">
        <v>62</v>
      </c>
      <c r="AD8" s="2507" t="s">
        <v>62</v>
      </c>
      <c r="AE8" s="2616"/>
      <c r="AF8" s="2520">
        <v>1</v>
      </c>
      <c r="AG8" s="2639"/>
      <c r="AH8" s="2445" t="s">
        <v>62</v>
      </c>
      <c r="AI8" s="2616"/>
      <c r="AJ8" s="2520">
        <v>1</v>
      </c>
      <c r="AK8" s="2630" t="s">
        <v>22</v>
      </c>
      <c r="AL8" s="2445" t="s">
        <v>62</v>
      </c>
      <c r="AM8" s="2495"/>
      <c r="AN8" s="2520">
        <v>1</v>
      </c>
      <c r="AO8" s="2643"/>
      <c r="AP8" s="2644" t="s">
        <v>62</v>
      </c>
      <c r="AQ8" s="248"/>
      <c r="AR8" s="1379">
        <v>1</v>
      </c>
      <c r="AS8" s="1382" t="s">
        <v>22</v>
      </c>
      <c r="AT8" s="687"/>
      <c r="AU8" s="1173"/>
      <c r="AV8" s="687"/>
      <c r="AW8" s="1173"/>
      <c r="AX8" s="1649"/>
      <c r="AY8" s="1375" t="s">
        <v>62</v>
      </c>
      <c r="AZ8" s="1649"/>
      <c r="BA8" s="1375" t="s">
        <v>62</v>
      </c>
      <c r="BB8" s="1264"/>
      <c r="BC8" s="2586" t="s">
        <v>500</v>
      </c>
      <c r="BE8" s="436"/>
      <c r="BF8" s="436" t="str">
        <f t="shared" si="0"/>
        <v/>
      </c>
      <c r="BG8" s="436"/>
      <c r="BH8" s="436"/>
      <c r="BI8" s="1071">
        <v>0</v>
      </c>
    </row>
    <row r="9" spans="1:61" ht="11.25" hidden="1" customHeight="1">
      <c r="A9" s="1279"/>
      <c r="B9" s="1279"/>
      <c r="C9" s="1279"/>
      <c r="D9" s="1279"/>
      <c r="E9" s="2564"/>
      <c r="F9" s="2564"/>
      <c r="G9" s="2564"/>
      <c r="H9" s="2564"/>
      <c r="I9" s="2566"/>
      <c r="J9" s="2566"/>
      <c r="K9" s="2565"/>
      <c r="L9" s="1280"/>
      <c r="P9" s="2567"/>
      <c r="Q9" s="2567"/>
      <c r="R9" s="2623"/>
      <c r="S9" s="2621"/>
      <c r="T9" s="2641"/>
      <c r="U9" s="237"/>
      <c r="V9" s="1309"/>
      <c r="W9" s="1412"/>
      <c r="X9" s="1309"/>
      <c r="Y9" s="1412"/>
      <c r="Z9" s="1309"/>
      <c r="AA9" s="1309"/>
      <c r="AB9" s="1309"/>
      <c r="AC9" s="1309"/>
      <c r="AD9" s="2508"/>
      <c r="AE9" s="2616"/>
      <c r="AF9" s="2520"/>
      <c r="AG9" s="2639"/>
      <c r="AH9" s="2445"/>
      <c r="AI9" s="2616"/>
      <c r="AJ9" s="2520"/>
      <c r="AK9" s="2630"/>
      <c r="AL9" s="2445"/>
      <c r="AM9" s="2500"/>
      <c r="AN9" s="2520"/>
      <c r="AO9" s="2643"/>
      <c r="AP9" s="2645"/>
      <c r="AQ9" s="253"/>
      <c r="AR9" s="352"/>
      <c r="AS9" s="352" t="s">
        <v>501</v>
      </c>
      <c r="AT9" s="1309"/>
      <c r="AU9" s="1412"/>
      <c r="AV9" s="1309"/>
      <c r="AW9" s="1412"/>
      <c r="AX9" s="1309"/>
      <c r="AY9" s="1309"/>
      <c r="AZ9" s="1309"/>
      <c r="BA9" s="1309"/>
      <c r="BB9" s="1313"/>
      <c r="BC9" s="2587"/>
      <c r="BE9" s="436"/>
      <c r="BF9" s="436"/>
      <c r="BG9" s="436"/>
      <c r="BH9" s="436"/>
      <c r="BI9" s="1071">
        <v>0</v>
      </c>
    </row>
    <row r="10" spans="1:61" ht="11.25" hidden="1" customHeight="1">
      <c r="A10" s="1279"/>
      <c r="B10" s="1279"/>
      <c r="C10" s="1279"/>
      <c r="D10" s="1279"/>
      <c r="E10" s="2564"/>
      <c r="F10" s="2564"/>
      <c r="G10" s="2564"/>
      <c r="H10" s="2564"/>
      <c r="I10" s="2566"/>
      <c r="J10" s="2566"/>
      <c r="K10" s="2565"/>
      <c r="L10" s="1280"/>
      <c r="P10" s="2567"/>
      <c r="Q10" s="2567"/>
      <c r="R10" s="2623"/>
      <c r="S10" s="2621"/>
      <c r="T10" s="2641"/>
      <c r="U10" s="237"/>
      <c r="V10" s="1309"/>
      <c r="W10" s="1412"/>
      <c r="X10" s="1309"/>
      <c r="Y10" s="1412"/>
      <c r="Z10" s="1309"/>
      <c r="AA10" s="1309"/>
      <c r="AB10" s="1309"/>
      <c r="AC10" s="1309"/>
      <c r="AD10" s="2508"/>
      <c r="AE10" s="2616"/>
      <c r="AF10" s="2520"/>
      <c r="AG10" s="2639"/>
      <c r="AH10" s="2445"/>
      <c r="AI10" s="2616"/>
      <c r="AJ10" s="2520"/>
      <c r="AK10" s="2630"/>
      <c r="AL10" s="2445"/>
      <c r="AM10" s="253"/>
      <c r="AN10" s="1416"/>
      <c r="AO10" s="1416" t="s">
        <v>502</v>
      </c>
      <c r="AP10" s="352"/>
      <c r="AQ10" s="352"/>
      <c r="AR10" s="352"/>
      <c r="AS10" s="1309"/>
      <c r="AT10" s="1309"/>
      <c r="AU10" s="1412"/>
      <c r="AV10" s="1309"/>
      <c r="AW10" s="1412"/>
      <c r="AX10" s="1309"/>
      <c r="AY10" s="1309"/>
      <c r="AZ10" s="1309"/>
      <c r="BA10" s="1309"/>
      <c r="BB10" s="1313"/>
      <c r="BC10" s="2587"/>
      <c r="BE10" s="436"/>
      <c r="BF10" s="436"/>
      <c r="BG10" s="436"/>
      <c r="BH10" s="436"/>
      <c r="BI10" s="1071">
        <v>0</v>
      </c>
    </row>
    <row r="11" spans="1:61" ht="11.25" hidden="1" customHeight="1">
      <c r="A11" s="1279"/>
      <c r="B11" s="1279"/>
      <c r="C11" s="1279"/>
      <c r="D11" s="1279"/>
      <c r="E11" s="2564"/>
      <c r="F11" s="2564"/>
      <c r="G11" s="2564"/>
      <c r="H11" s="2564"/>
      <c r="I11" s="2566"/>
      <c r="J11" s="2566"/>
      <c r="K11" s="2565"/>
      <c r="L11" s="1280"/>
      <c r="P11" s="2567"/>
      <c r="Q11" s="2567"/>
      <c r="R11" s="2623"/>
      <c r="S11" s="2621"/>
      <c r="T11" s="2641"/>
      <c r="U11" s="237"/>
      <c r="V11" s="1309"/>
      <c r="W11" s="1412"/>
      <c r="X11" s="1309"/>
      <c r="Y11" s="1412"/>
      <c r="Z11" s="1309"/>
      <c r="AA11" s="1309"/>
      <c r="AB11" s="1309"/>
      <c r="AC11" s="1309"/>
      <c r="AD11" s="2508"/>
      <c r="AE11" s="2616"/>
      <c r="AF11" s="2520"/>
      <c r="AG11" s="2639"/>
      <c r="AH11" s="2445"/>
      <c r="AI11" s="231"/>
      <c r="AJ11" s="351"/>
      <c r="AK11" s="250" t="s">
        <v>503</v>
      </c>
      <c r="AL11" s="1309"/>
      <c r="AM11" s="1309"/>
      <c r="AN11" s="1309"/>
      <c r="AO11" s="1309"/>
      <c r="AP11" s="1309"/>
      <c r="AQ11" s="1309"/>
      <c r="AR11" s="1309"/>
      <c r="AS11" s="1309"/>
      <c r="AT11" s="1309"/>
      <c r="AU11" s="1412"/>
      <c r="AV11" s="1309"/>
      <c r="AW11" s="1412"/>
      <c r="AX11" s="1309"/>
      <c r="AY11" s="1309"/>
      <c r="AZ11" s="1309"/>
      <c r="BA11" s="1309"/>
      <c r="BB11" s="1313"/>
      <c r="BC11" s="2587"/>
      <c r="BE11" s="436"/>
      <c r="BF11" s="436"/>
      <c r="BG11" s="436"/>
      <c r="BH11" s="436"/>
      <c r="BI11" s="1071">
        <v>0</v>
      </c>
    </row>
    <row r="12" spans="1:61" ht="11.25" hidden="1" customHeight="1">
      <c r="A12" s="1279"/>
      <c r="B12" s="1279"/>
      <c r="C12" s="1279"/>
      <c r="D12" s="1279"/>
      <c r="E12" s="2564"/>
      <c r="F12" s="2564"/>
      <c r="G12" s="2564"/>
      <c r="H12" s="2564"/>
      <c r="I12" s="2566"/>
      <c r="J12" s="2566"/>
      <c r="K12" s="2565"/>
      <c r="L12" s="1280"/>
      <c r="P12" s="2567"/>
      <c r="Q12" s="2567"/>
      <c r="R12" s="2623"/>
      <c r="S12" s="2622"/>
      <c r="T12" s="2642"/>
      <c r="U12" s="237"/>
      <c r="V12" s="1309"/>
      <c r="W12" s="1310" t="str">
        <f>Z8&amp;"-"&amp;AB8</f>
        <v>-</v>
      </c>
      <c r="X12" s="1309"/>
      <c r="Y12" s="1310" t="str">
        <f>AB8&amp;"-"&amp;AD8</f>
        <v>-да</v>
      </c>
      <c r="Z12" s="1309"/>
      <c r="AA12" s="1309"/>
      <c r="AB12" s="1309"/>
      <c r="AC12" s="1309"/>
      <c r="AD12" s="2450"/>
      <c r="AE12" s="249"/>
      <c r="AF12" s="251"/>
      <c r="AG12" s="352" t="s">
        <v>504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587"/>
      <c r="BE12" s="436"/>
      <c r="BF12" s="436" t="str">
        <f t="shared" ref="BF12:BF18" si="1">IF(T12="","",T12)</f>
        <v/>
      </c>
      <c r="BG12" s="436"/>
      <c r="BH12" s="436"/>
      <c r="BI12" s="1071">
        <v>0</v>
      </c>
    </row>
    <row r="13" spans="1:61" ht="11.25" hidden="1" customHeight="1">
      <c r="A13" s="1279"/>
      <c r="B13" s="1279"/>
      <c r="C13" s="1279"/>
      <c r="D13" s="1279"/>
      <c r="E13" s="2564"/>
      <c r="F13" s="2564"/>
      <c r="G13" s="2564"/>
      <c r="H13" s="2564"/>
      <c r="I13" s="2566"/>
      <c r="J13" s="2565"/>
      <c r="K13" s="1279"/>
      <c r="L13" s="1280"/>
      <c r="P13" s="2567"/>
      <c r="Q13" s="2567"/>
      <c r="R13" s="292"/>
      <c r="S13" s="1194"/>
      <c r="T13" s="224" t="s">
        <v>467</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8"/>
      <c r="BE13" s="436"/>
      <c r="BF13" s="436" t="str">
        <f t="shared" si="1"/>
        <v>Добавить строку</v>
      </c>
      <c r="BG13" s="436"/>
      <c r="BH13" s="436"/>
      <c r="BI13" s="1071">
        <v>0</v>
      </c>
    </row>
    <row r="14" spans="1:61" s="2344" customFormat="1" ht="14.25" hidden="1" customHeight="1">
      <c r="A14" s="1259"/>
      <c r="B14" s="1259"/>
      <c r="C14" s="1259"/>
      <c r="D14" s="1259"/>
      <c r="E14" s="2564"/>
      <c r="F14" s="2564"/>
      <c r="G14" s="2564"/>
      <c r="H14" s="2564"/>
      <c r="I14" s="2565"/>
      <c r="J14" s="1259"/>
      <c r="K14" s="1259"/>
      <c r="L14" s="1262"/>
      <c r="M14" s="446"/>
      <c r="N14" s="446"/>
      <c r="O14" s="446"/>
      <c r="P14" s="2567"/>
      <c r="Q14" s="1378"/>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344" customFormat="1" ht="14.25" hidden="1" customHeight="1">
      <c r="A15" s="1259"/>
      <c r="B15" s="1259"/>
      <c r="C15" s="1259"/>
      <c r="D15" s="1259"/>
      <c r="E15" s="2564"/>
      <c r="F15" s="2564"/>
      <c r="G15" s="2564"/>
      <c r="H15" s="2563"/>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344" customFormat="1" ht="14.25" hidden="1" customHeight="1">
      <c r="A16" s="1259"/>
      <c r="B16" s="1259"/>
      <c r="C16" s="1259"/>
      <c r="D16" s="1230"/>
      <c r="E16" s="2564"/>
      <c r="F16" s="2564"/>
      <c r="G16" s="2563"/>
      <c r="H16" s="1230"/>
      <c r="I16" s="1230"/>
      <c r="J16" s="1230"/>
      <c r="K16" s="1230"/>
      <c r="L16" s="138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344" customFormat="1" ht="14.25" hidden="1" customHeight="1">
      <c r="A17" s="1259"/>
      <c r="B17" s="1259"/>
      <c r="C17" s="1230"/>
      <c r="D17" s="1230"/>
      <c r="E17" s="2564"/>
      <c r="F17" s="2563"/>
      <c r="G17" s="1230"/>
      <c r="H17" s="1230"/>
      <c r="I17" s="1230"/>
      <c r="J17" s="1230"/>
      <c r="K17" s="1230"/>
      <c r="L17" s="1380"/>
      <c r="M17" s="1237"/>
      <c r="N17" s="1237"/>
      <c r="P17" s="1232"/>
      <c r="Q17" s="1233"/>
      <c r="R17" s="1232"/>
      <c r="S17" s="1238"/>
      <c r="T17" s="1241" t="s">
        <v>414</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344" customFormat="1" ht="14.25" hidden="1" customHeight="1">
      <c r="A18" s="1259"/>
      <c r="B18" s="1259"/>
      <c r="C18" s="1259"/>
      <c r="D18" s="1259"/>
      <c r="E18" s="2563"/>
      <c r="F18" s="1259"/>
      <c r="G18" s="1259"/>
      <c r="H18" s="1259"/>
      <c r="I18" s="1259"/>
      <c r="J18" s="1259"/>
      <c r="K18" s="1259"/>
      <c r="L18" s="1262"/>
      <c r="M18" s="1237"/>
      <c r="N18" s="1237"/>
      <c r="O18" s="454"/>
      <c r="P18" s="316"/>
      <c r="Q18" s="1260"/>
      <c r="R18" s="316"/>
      <c r="S18" s="1238"/>
      <c r="T18" s="1241" t="s">
        <v>415</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376" t="s">
        <v>62</v>
      </c>
      <c r="AZ20" s="1651"/>
      <c r="BA20" s="1376" t="s">
        <v>62</v>
      </c>
      <c r="BI20" s="1071">
        <v>0</v>
      </c>
    </row>
    <row r="21" spans="1:61" ht="14.25" hidden="1" customHeight="1">
      <c r="BD21" s="432"/>
      <c r="BE21" s="432"/>
      <c r="BF21" s="432"/>
      <c r="BG21" s="432"/>
      <c r="BH21" s="432"/>
      <c r="BI21" s="1071">
        <v>0</v>
      </c>
    </row>
    <row r="22" spans="1:61" ht="14.25" hidden="1" customHeight="1">
      <c r="O22" s="1283" t="s">
        <v>416</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338" customFormat="1" ht="14.25" hidden="1" customHeight="1">
      <c r="M24" s="1424"/>
      <c r="N24" s="1424"/>
      <c r="O24" s="1425" t="s">
        <v>417</v>
      </c>
      <c r="P24" s="1424"/>
      <c r="Q24" s="1426"/>
      <c r="R24" s="1426"/>
      <c r="AA24" s="1423" t="s">
        <v>419</v>
      </c>
      <c r="AC24" s="1423" t="s">
        <v>420</v>
      </c>
      <c r="AD24" s="1423" t="s">
        <v>468</v>
      </c>
      <c r="AH24" s="1423" t="s">
        <v>468</v>
      </c>
      <c r="AK24" s="1423" t="s">
        <v>505</v>
      </c>
      <c r="AL24" s="1423" t="s">
        <v>468</v>
      </c>
      <c r="AP24" s="1423" t="s">
        <v>468</v>
      </c>
      <c r="AY24" s="1423" t="s">
        <v>419</v>
      </c>
      <c r="BA24" s="1423" t="s">
        <v>420</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4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9"/>
      <c r="BI28" s="1071">
        <v>14</v>
      </c>
    </row>
    <row r="29" spans="1:61" ht="14.65" customHeight="1">
      <c r="Q29" s="228"/>
      <c r="R29" s="312"/>
      <c r="S29" s="2516" t="str">
        <f>IF(org=0,"Не определено",org)</f>
        <v>ООО "Пятигорсктеплосервис"</v>
      </c>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c r="AS29" s="2516"/>
      <c r="AT29" s="2516"/>
      <c r="AU29" s="2516"/>
      <c r="AV29" s="2516"/>
      <c r="AW29" s="2516"/>
      <c r="AX29" s="2516"/>
      <c r="AY29" s="2516"/>
      <c r="AZ29" s="2516"/>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380" customFormat="1" ht="25.5" hidden="1" customHeight="1">
      <c r="A31" s="1284"/>
      <c r="B31" s="1284"/>
      <c r="C31" s="1284"/>
      <c r="D31" s="1284"/>
      <c r="E31" s="1284"/>
      <c r="F31" s="1284"/>
      <c r="G31" s="1284"/>
      <c r="H31" s="1284"/>
      <c r="I31" s="1284"/>
      <c r="J31" s="1284"/>
      <c r="K31" s="1284"/>
      <c r="L31" s="1285"/>
      <c r="M31" s="1284"/>
      <c r="N31" s="1284"/>
      <c r="O31" s="1284"/>
      <c r="P31" s="1284"/>
      <c r="Q31" s="1284"/>
      <c r="S31" s="2554" t="s">
        <v>41</v>
      </c>
      <c r="T31" s="2554"/>
      <c r="U31" s="1288"/>
      <c r="V31" s="2556" t="str">
        <f>IF(TITLE_NAME_OR_PR_CHANGE="",IF(TITLE_NAME_OR_PR="","",TITLE_NAME_OR_PR),TITLE_NAME_OR_PR_CHANGE)</f>
        <v/>
      </c>
      <c r="W31" s="2556"/>
      <c r="X31" s="2556"/>
      <c r="Y31" s="2556"/>
      <c r="Z31" s="2556"/>
      <c r="AA31" s="2556"/>
      <c r="AB31" s="2556"/>
      <c r="AC31" s="263"/>
      <c r="AD31" s="2556" t="str">
        <f>IF(TITLE_NAME_OR_PR_CHANGE="",IF(TITLE_NAME_OR_PR="","",TITLE_NAME_OR_PR),TITLE_NAME_OR_PR_CHANGE)</f>
        <v/>
      </c>
      <c r="AE31" s="2556"/>
      <c r="AF31" s="2556"/>
      <c r="AG31" s="2556"/>
      <c r="AH31" s="2556"/>
      <c r="AI31" s="2556"/>
      <c r="AJ31" s="2556"/>
      <c r="AK31" s="2556"/>
      <c r="AL31" s="2556"/>
      <c r="AM31" s="2556"/>
      <c r="AN31" s="2556"/>
      <c r="AO31" s="2556"/>
      <c r="AP31" s="2556"/>
      <c r="AQ31" s="2556"/>
      <c r="AR31" s="2556"/>
      <c r="AS31" s="2556"/>
      <c r="AT31" s="2556"/>
      <c r="AU31" s="2556"/>
      <c r="AV31" s="2556"/>
      <c r="AW31" s="2556"/>
      <c r="AX31" s="2556"/>
      <c r="AY31" s="2556"/>
      <c r="AZ31" s="2556"/>
      <c r="BA31" s="263"/>
      <c r="BB31" s="263"/>
      <c r="BC31" s="217"/>
      <c r="BD31" s="304"/>
      <c r="BE31" s="304"/>
      <c r="BF31" s="304"/>
      <c r="BG31" s="304"/>
      <c r="BH31" s="304"/>
      <c r="BI31" s="354">
        <v>0</v>
      </c>
    </row>
    <row r="32" spans="1:61" s="2380" customFormat="1" ht="18.75" hidden="1" customHeight="1">
      <c r="A32" s="1284"/>
      <c r="B32" s="1284"/>
      <c r="C32" s="1284"/>
      <c r="D32" s="1284"/>
      <c r="E32" s="1284"/>
      <c r="F32" s="1284"/>
      <c r="G32" s="1284"/>
      <c r="H32" s="1284"/>
      <c r="I32" s="1284"/>
      <c r="J32" s="1284"/>
      <c r="K32" s="1284"/>
      <c r="L32" s="1285"/>
      <c r="M32" s="1284"/>
      <c r="N32" s="1284"/>
      <c r="O32" s="1284"/>
      <c r="P32" s="1284"/>
      <c r="Q32" s="1284"/>
      <c r="S32" s="2554" t="s">
        <v>422</v>
      </c>
      <c r="T32" s="2554"/>
      <c r="U32" s="1288"/>
      <c r="V32" s="2555" t="str">
        <f>IF(TITLE_DATE_PR_CHANGE="",IF(TITLE_DATE_PR="","",TITLE_DATE_PR),TITLE_DATE_PR_CHANGE)</f>
        <v/>
      </c>
      <c r="W32" s="2555"/>
      <c r="X32" s="2555"/>
      <c r="Y32" s="2555"/>
      <c r="Z32" s="2555"/>
      <c r="AA32" s="2555"/>
      <c r="AB32" s="2555"/>
      <c r="AC32" s="263"/>
      <c r="AD32" s="2555" t="str">
        <f>IF(TITLE_DATE_PR_CHANGE="",IF(TITLE_DATE_PR="","",TITLE_DATE_PR),TITLE_DATE_PR_CHANGE)</f>
        <v/>
      </c>
      <c r="AE32" s="2555"/>
      <c r="AF32" s="2555"/>
      <c r="AG32" s="2555"/>
      <c r="AH32" s="2555"/>
      <c r="AI32" s="2555"/>
      <c r="AJ32" s="2555"/>
      <c r="AK32" s="2555"/>
      <c r="AL32" s="2555"/>
      <c r="AM32" s="2555"/>
      <c r="AN32" s="2555"/>
      <c r="AO32" s="2555"/>
      <c r="AP32" s="2555"/>
      <c r="AQ32" s="2555"/>
      <c r="AR32" s="2555"/>
      <c r="AS32" s="2555"/>
      <c r="AT32" s="2555"/>
      <c r="AU32" s="2555"/>
      <c r="AV32" s="2555"/>
      <c r="AW32" s="2555"/>
      <c r="AX32" s="2555"/>
      <c r="AY32" s="2555"/>
      <c r="AZ32" s="2555"/>
      <c r="BA32" s="263"/>
      <c r="BB32" s="263"/>
      <c r="BC32" s="217"/>
      <c r="BD32" s="304"/>
      <c r="BE32" s="304"/>
      <c r="BF32" s="304"/>
      <c r="BG32" s="304"/>
      <c r="BH32" s="304"/>
      <c r="BI32" s="354">
        <v>0</v>
      </c>
    </row>
    <row r="33" spans="1:61" s="2380" customFormat="1" ht="18.75" hidden="1" customHeight="1">
      <c r="A33" s="1284"/>
      <c r="B33" s="1284"/>
      <c r="C33" s="1284"/>
      <c r="D33" s="1284"/>
      <c r="E33" s="1284"/>
      <c r="F33" s="1284"/>
      <c r="G33" s="1284"/>
      <c r="H33" s="1284"/>
      <c r="I33" s="1284"/>
      <c r="J33" s="1284"/>
      <c r="K33" s="1284"/>
      <c r="L33" s="1285"/>
      <c r="M33" s="1284"/>
      <c r="N33" s="1284"/>
      <c r="O33" s="1284"/>
      <c r="P33" s="1284"/>
      <c r="Q33" s="1284"/>
      <c r="S33" s="2554" t="s">
        <v>423</v>
      </c>
      <c r="T33" s="2554"/>
      <c r="U33" s="1288"/>
      <c r="V33" s="2556" t="str">
        <f>IF(TITLE_NUMBER_PR_CHANGE="",IF(TITLE_NUMBER_PR="","",TITLE_NUMBER_PR),TITLE_NUMBER_PR_CHANGE)</f>
        <v/>
      </c>
      <c r="W33" s="2556"/>
      <c r="X33" s="2556"/>
      <c r="Y33" s="2556"/>
      <c r="Z33" s="2556"/>
      <c r="AA33" s="2556"/>
      <c r="AB33" s="2556"/>
      <c r="AC33" s="263"/>
      <c r="AD33" s="2556" t="str">
        <f>IF(TITLE_NUMBER_PR_CHANGE="",IF(TITLE_NUMBER_PR="","",TITLE_NUMBER_PR),TITLE_NUMBER_PR_CHANGE)</f>
        <v/>
      </c>
      <c r="AE33" s="2556"/>
      <c r="AF33" s="2556"/>
      <c r="AG33" s="2556"/>
      <c r="AH33" s="2556"/>
      <c r="AI33" s="2556"/>
      <c r="AJ33" s="2556"/>
      <c r="AK33" s="2556"/>
      <c r="AL33" s="2556"/>
      <c r="AM33" s="2556"/>
      <c r="AN33" s="2556"/>
      <c r="AO33" s="2556"/>
      <c r="AP33" s="2556"/>
      <c r="AQ33" s="2556"/>
      <c r="AR33" s="2556"/>
      <c r="AS33" s="2556"/>
      <c r="AT33" s="2556"/>
      <c r="AU33" s="2556"/>
      <c r="AV33" s="2556"/>
      <c r="AW33" s="2556"/>
      <c r="AX33" s="2556"/>
      <c r="AY33" s="2556"/>
      <c r="AZ33" s="2556"/>
      <c r="BA33" s="263"/>
      <c r="BB33" s="263"/>
      <c r="BC33" s="217"/>
      <c r="BD33" s="304"/>
      <c r="BE33" s="304"/>
      <c r="BF33" s="304"/>
      <c r="BG33" s="304"/>
      <c r="BH33" s="304"/>
      <c r="BI33" s="354">
        <v>0</v>
      </c>
    </row>
    <row r="34" spans="1:61" s="2380" customFormat="1" ht="18.75" hidden="1" customHeight="1">
      <c r="A34" s="1284"/>
      <c r="B34" s="1284"/>
      <c r="C34" s="1284"/>
      <c r="D34" s="1284"/>
      <c r="E34" s="1284"/>
      <c r="F34" s="1284"/>
      <c r="G34" s="1284"/>
      <c r="H34" s="1284"/>
      <c r="I34" s="1284"/>
      <c r="J34" s="1284"/>
      <c r="K34" s="1284"/>
      <c r="L34" s="1285"/>
      <c r="M34" s="1284"/>
      <c r="N34" s="1284"/>
      <c r="O34" s="1284"/>
      <c r="P34" s="1284"/>
      <c r="Q34" s="1284"/>
      <c r="S34" s="2554" t="s">
        <v>42</v>
      </c>
      <c r="T34" s="2554"/>
      <c r="U34" s="1288"/>
      <c r="V34" s="2556" t="str">
        <f>IF(TITLE_IST_PUB_CHANGE="",IF(TITLE_IST_PUB="","",TITLE_IST_PUB),TITLE_IST_PUB_CHANGE)</f>
        <v/>
      </c>
      <c r="W34" s="2556"/>
      <c r="X34" s="2556"/>
      <c r="Y34" s="2556"/>
      <c r="Z34" s="2556"/>
      <c r="AA34" s="2556"/>
      <c r="AB34" s="2556"/>
      <c r="AC34" s="263"/>
      <c r="AD34" s="2556" t="str">
        <f>IF(TITLE_IST_PUB_CHANGE="",IF(TITLE_IST_PUB="","",TITLE_IST_PUB),TITLE_IST_PUB_CHANGE)</f>
        <v/>
      </c>
      <c r="AE34" s="2556"/>
      <c r="AF34" s="2556"/>
      <c r="AG34" s="2556"/>
      <c r="AH34" s="2556"/>
      <c r="AI34" s="2556"/>
      <c r="AJ34" s="2556"/>
      <c r="AK34" s="2556"/>
      <c r="AL34" s="2556"/>
      <c r="AM34" s="2556"/>
      <c r="AN34" s="2556"/>
      <c r="AO34" s="2556"/>
      <c r="AP34" s="2556"/>
      <c r="AQ34" s="2556"/>
      <c r="AR34" s="2556"/>
      <c r="AS34" s="2556"/>
      <c r="AT34" s="2556"/>
      <c r="AU34" s="2556"/>
      <c r="AV34" s="2556"/>
      <c r="AW34" s="2556"/>
      <c r="AX34" s="2556"/>
      <c r="AY34" s="2556"/>
      <c r="AZ34" s="2556"/>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380" customFormat="1" ht="18.75" hidden="1" customHeight="1">
      <c r="A36" s="1284"/>
      <c r="B36" s="1284"/>
      <c r="C36" s="1284"/>
      <c r="D36" s="1284"/>
      <c r="E36" s="1284"/>
      <c r="F36" s="1284"/>
      <c r="G36" s="1284"/>
      <c r="H36" s="1284"/>
      <c r="I36" s="1284"/>
      <c r="J36" s="1284"/>
      <c r="K36" s="1284"/>
      <c r="L36" s="1285"/>
      <c r="M36" s="1284"/>
      <c r="N36" s="1284"/>
      <c r="O36" s="1284"/>
      <c r="P36" s="1284"/>
      <c r="Q36" s="1284"/>
      <c r="S36" s="2554" t="s">
        <v>422</v>
      </c>
      <c r="T36" s="2554"/>
      <c r="U36" s="1288"/>
      <c r="V36" s="2555" t="str">
        <f>IF(TITLE_DATE_PR_CHANGE="",IF(TITLE_DATE_PR="","",TITLE_DATE_PR),TITLE_DATE_PR_CHANGE)</f>
        <v/>
      </c>
      <c r="W36" s="2555"/>
      <c r="X36" s="2555"/>
      <c r="Y36" s="2555"/>
      <c r="Z36" s="2555"/>
      <c r="AA36" s="2555"/>
      <c r="AB36" s="2555"/>
      <c r="AC36" s="263"/>
      <c r="AD36" s="2555" t="str">
        <f>IF(TITLE_DATE_PR_CHANGE="",IF(TITLE_DATE_PR="","",TITLE_DATE_PR),TITLE_DATE_PR_CHANGE)</f>
        <v/>
      </c>
      <c r="AE36" s="2555"/>
      <c r="AF36" s="2555"/>
      <c r="AG36" s="2555"/>
      <c r="AH36" s="2555"/>
      <c r="AI36" s="2555"/>
      <c r="AJ36" s="2555"/>
      <c r="AK36" s="2555"/>
      <c r="AL36" s="2555"/>
      <c r="AM36" s="2555"/>
      <c r="AN36" s="2555"/>
      <c r="AO36" s="2555"/>
      <c r="AP36" s="2555"/>
      <c r="AQ36" s="2555"/>
      <c r="AR36" s="2555"/>
      <c r="AS36" s="2555"/>
      <c r="AT36" s="2555"/>
      <c r="AU36" s="2555"/>
      <c r="AV36" s="2555"/>
      <c r="AW36" s="2555"/>
      <c r="AX36" s="2555"/>
      <c r="AY36" s="2555"/>
      <c r="AZ36" s="2555"/>
      <c r="BA36" s="263"/>
      <c r="BB36" s="263"/>
      <c r="BC36" s="217"/>
      <c r="BD36" s="304"/>
      <c r="BE36" s="304"/>
      <c r="BF36" s="304"/>
      <c r="BG36" s="304"/>
      <c r="BH36" s="304"/>
      <c r="BI36" s="354">
        <v>0</v>
      </c>
    </row>
    <row r="37" spans="1:61" s="2380" customFormat="1" ht="18.75" hidden="1" customHeight="1">
      <c r="A37" s="1284"/>
      <c r="B37" s="1284"/>
      <c r="C37" s="1284"/>
      <c r="D37" s="1284"/>
      <c r="E37" s="1284"/>
      <c r="F37" s="1284"/>
      <c r="G37" s="1284"/>
      <c r="H37" s="1284"/>
      <c r="I37" s="1284"/>
      <c r="J37" s="1284"/>
      <c r="K37" s="1284"/>
      <c r="L37" s="1285"/>
      <c r="M37" s="1284"/>
      <c r="N37" s="1284"/>
      <c r="O37" s="1284"/>
      <c r="P37" s="1284"/>
      <c r="Q37" s="1284"/>
      <c r="S37" s="2554" t="s">
        <v>423</v>
      </c>
      <c r="T37" s="2554"/>
      <c r="U37" s="1288"/>
      <c r="V37" s="2556" t="str">
        <f>IF(TITLE_NUMBER_PR_CHANGE="",IF(TITLE_NUMBER_PR="","",TITLE_NUMBER_PR),TITLE_NUMBER_PR_CHANGE)</f>
        <v/>
      </c>
      <c r="W37" s="2556"/>
      <c r="X37" s="2556"/>
      <c r="Y37" s="2556"/>
      <c r="Z37" s="2556"/>
      <c r="AA37" s="2556"/>
      <c r="AB37" s="2556"/>
      <c r="AC37" s="263"/>
      <c r="AD37" s="2556" t="str">
        <f>IF(TITLE_NUMBER_PR_CHANGE="",IF(TITLE_NUMBER_PR="","",TITLE_NUMBER_PR),TITLE_NUMBER_PR_CHANGE)</f>
        <v/>
      </c>
      <c r="AE37" s="2556"/>
      <c r="AF37" s="2556"/>
      <c r="AG37" s="2556"/>
      <c r="AH37" s="2556"/>
      <c r="AI37" s="2556"/>
      <c r="AJ37" s="2556"/>
      <c r="AK37" s="2556"/>
      <c r="AL37" s="2556"/>
      <c r="AM37" s="2556"/>
      <c r="AN37" s="2556"/>
      <c r="AO37" s="2556"/>
      <c r="AP37" s="2556"/>
      <c r="AQ37" s="2556"/>
      <c r="AR37" s="2556"/>
      <c r="AS37" s="2556"/>
      <c r="AT37" s="2556"/>
      <c r="AU37" s="2556"/>
      <c r="AV37" s="2556"/>
      <c r="AW37" s="2556"/>
      <c r="AX37" s="2556"/>
      <c r="AY37" s="2556"/>
      <c r="AZ37" s="2556"/>
      <c r="BA37" s="263"/>
      <c r="BB37" s="263"/>
      <c r="BC37" s="217"/>
      <c r="BD37" s="304"/>
      <c r="BE37" s="304"/>
      <c r="BF37" s="304"/>
      <c r="BG37" s="304"/>
      <c r="BH37" s="304"/>
      <c r="BI37" s="354">
        <v>0</v>
      </c>
    </row>
    <row r="38" spans="1:61" s="2380"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37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1"/>
      <c r="T39" s="299"/>
      <c r="U39" s="1160"/>
      <c r="V39" s="2575"/>
      <c r="W39" s="2575"/>
      <c r="X39" s="2575"/>
      <c r="Y39" s="2575"/>
      <c r="Z39" s="2575"/>
      <c r="AA39" s="2575"/>
      <c r="AB39" s="2575"/>
      <c r="AC39" s="2575"/>
      <c r="AD39" s="2575"/>
      <c r="AE39" s="2575"/>
      <c r="AF39" s="2575"/>
      <c r="AG39" s="2575"/>
      <c r="AH39" s="2575"/>
      <c r="AI39" s="2575"/>
      <c r="AJ39" s="2575"/>
      <c r="AK39" s="2575"/>
      <c r="AL39" s="2575"/>
      <c r="AM39" s="2575"/>
      <c r="AN39" s="2575"/>
      <c r="AO39" s="2575"/>
      <c r="AP39" s="2575"/>
      <c r="AQ39" s="2575"/>
      <c r="AR39" s="2575"/>
      <c r="AS39" s="2575"/>
      <c r="AT39" s="2575"/>
      <c r="AU39" s="2575"/>
      <c r="AV39" s="2575"/>
      <c r="AW39" s="2575"/>
      <c r="AX39" s="2575"/>
      <c r="AY39" s="2575"/>
      <c r="AZ39" s="2575"/>
      <c r="BA39" s="2575"/>
      <c r="BI39" s="1071">
        <v>14</v>
      </c>
    </row>
    <row r="40" spans="1:61" ht="14.65" customHeight="1">
      <c r="Q40" s="228"/>
      <c r="R40" s="312"/>
      <c r="S40" s="2435" t="s">
        <v>299</v>
      </c>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c r="AS40" s="2435"/>
      <c r="AT40" s="2435"/>
      <c r="AU40" s="2435"/>
      <c r="AV40" s="2435"/>
      <c r="AW40" s="2435"/>
      <c r="AX40" s="2435"/>
      <c r="AY40" s="2435"/>
      <c r="AZ40" s="2435"/>
      <c r="BA40" s="2435"/>
      <c r="BB40" s="2435"/>
      <c r="BC40" s="2435" t="s">
        <v>300</v>
      </c>
      <c r="BI40" s="1071">
        <v>14</v>
      </c>
    </row>
    <row r="41" spans="1:61" ht="14.65" customHeight="1">
      <c r="Q41" s="228"/>
      <c r="R41" s="312"/>
      <c r="S41" s="2576" t="s">
        <v>88</v>
      </c>
      <c r="T41" s="2524" t="s">
        <v>506</v>
      </c>
      <c r="U41" s="238"/>
      <c r="V41" s="2577" t="s">
        <v>428</v>
      </c>
      <c r="W41" s="2578"/>
      <c r="X41" s="2578"/>
      <c r="Y41" s="2578"/>
      <c r="Z41" s="2578"/>
      <c r="AA41" s="2578"/>
      <c r="AB41" s="2579"/>
      <c r="AC41" s="2580" t="s">
        <v>429</v>
      </c>
      <c r="AD41" s="2609" t="s">
        <v>507</v>
      </c>
      <c r="AE41" s="2593"/>
      <c r="AF41" s="2593"/>
      <c r="AG41" s="2610"/>
      <c r="AH41" s="2609" t="s">
        <v>508</v>
      </c>
      <c r="AI41" s="2593"/>
      <c r="AJ41" s="2593"/>
      <c r="AK41" s="2610"/>
      <c r="AL41" s="2609" t="s">
        <v>509</v>
      </c>
      <c r="AM41" s="2593"/>
      <c r="AN41" s="2593"/>
      <c r="AO41" s="2610"/>
      <c r="AP41" s="2609" t="s">
        <v>510</v>
      </c>
      <c r="AQ41" s="2593"/>
      <c r="AR41" s="2593"/>
      <c r="AS41" s="2610"/>
      <c r="AT41" s="2577" t="s">
        <v>428</v>
      </c>
      <c r="AU41" s="2578"/>
      <c r="AV41" s="2578"/>
      <c r="AW41" s="2578"/>
      <c r="AX41" s="2578"/>
      <c r="AY41" s="2578"/>
      <c r="AZ41" s="2579"/>
      <c r="BA41" s="2580" t="s">
        <v>429</v>
      </c>
      <c r="BB41" s="2583" t="s">
        <v>431</v>
      </c>
      <c r="BC41" s="2435"/>
      <c r="BI41" s="1071">
        <v>14</v>
      </c>
    </row>
    <row r="42" spans="1:61" ht="35.65" customHeight="1">
      <c r="Q42" s="228"/>
      <c r="R42" s="312"/>
      <c r="S42" s="2576"/>
      <c r="T42" s="2524"/>
      <c r="U42" s="953"/>
      <c r="V42" s="2495" t="s">
        <v>511</v>
      </c>
      <c r="W42" s="2496"/>
      <c r="X42" s="2495" t="s">
        <v>512</v>
      </c>
      <c r="Y42" s="2496"/>
      <c r="Z42" s="2495" t="s">
        <v>513</v>
      </c>
      <c r="AA42" s="2605"/>
      <c r="AB42" s="2496"/>
      <c r="AC42" s="2581"/>
      <c r="AD42" s="2611"/>
      <c r="AE42" s="2612"/>
      <c r="AF42" s="2612"/>
      <c r="AG42" s="2624"/>
      <c r="AH42" s="2611"/>
      <c r="AI42" s="2612"/>
      <c r="AJ42" s="2612"/>
      <c r="AK42" s="2624"/>
      <c r="AL42" s="2611"/>
      <c r="AM42" s="2612"/>
      <c r="AN42" s="2612"/>
      <c r="AO42" s="2624"/>
      <c r="AP42" s="2611"/>
      <c r="AQ42" s="2612"/>
      <c r="AR42" s="2612"/>
      <c r="AS42" s="2624"/>
      <c r="AT42" s="2495" t="s">
        <v>511</v>
      </c>
      <c r="AU42" s="2496"/>
      <c r="AV42" s="2495" t="s">
        <v>512</v>
      </c>
      <c r="AW42" s="2496"/>
      <c r="AX42" s="2495" t="s">
        <v>513</v>
      </c>
      <c r="AY42" s="2605"/>
      <c r="AZ42" s="2496"/>
      <c r="BA42" s="2581"/>
      <c r="BB42" s="2584"/>
      <c r="BC42" s="2435"/>
      <c r="BI42" s="1071">
        <v>34</v>
      </c>
    </row>
    <row r="43" spans="1:61" ht="14.65" customHeight="1">
      <c r="Q43" s="228"/>
      <c r="R43" s="312"/>
      <c r="S43" s="2576"/>
      <c r="T43" s="2524"/>
      <c r="U43" s="953"/>
      <c r="V43" s="2500"/>
      <c r="W43" s="2501"/>
      <c r="X43" s="2500"/>
      <c r="Y43" s="2501"/>
      <c r="Z43" s="2500"/>
      <c r="AA43" s="2606"/>
      <c r="AB43" s="2501"/>
      <c r="AC43" s="2581"/>
      <c r="AD43" s="2611"/>
      <c r="AE43" s="2612"/>
      <c r="AF43" s="2612"/>
      <c r="AG43" s="2624"/>
      <c r="AH43" s="2611"/>
      <c r="AI43" s="2612"/>
      <c r="AJ43" s="2612"/>
      <c r="AK43" s="2624"/>
      <c r="AL43" s="2611"/>
      <c r="AM43" s="2612"/>
      <c r="AN43" s="2612"/>
      <c r="AO43" s="2624"/>
      <c r="AP43" s="2611"/>
      <c r="AQ43" s="2612"/>
      <c r="AR43" s="2612"/>
      <c r="AS43" s="2624"/>
      <c r="AT43" s="2500"/>
      <c r="AU43" s="2501"/>
      <c r="AV43" s="2500"/>
      <c r="AW43" s="2501"/>
      <c r="AX43" s="2500"/>
      <c r="AY43" s="2606"/>
      <c r="AZ43" s="2501"/>
      <c r="BA43" s="2581"/>
      <c r="BB43" s="2584"/>
      <c r="BC43" s="2435"/>
      <c r="BI43" s="1071">
        <v>14</v>
      </c>
    </row>
    <row r="44" spans="1:61" ht="14.65" customHeight="1">
      <c r="A44" s="1286"/>
      <c r="B44" s="1286" t="s">
        <v>136</v>
      </c>
      <c r="C44" s="1286" t="s">
        <v>137</v>
      </c>
      <c r="D44" s="1286" t="s">
        <v>138</v>
      </c>
      <c r="E44" s="1280" t="s">
        <v>436</v>
      </c>
      <c r="F44" s="1280" t="s">
        <v>437</v>
      </c>
      <c r="G44" s="1280" t="s">
        <v>438</v>
      </c>
      <c r="H44" s="1280" t="s">
        <v>439</v>
      </c>
      <c r="I44" s="1280" t="s">
        <v>440</v>
      </c>
      <c r="J44" s="1280" t="s">
        <v>441</v>
      </c>
      <c r="K44" s="1280" t="s">
        <v>442</v>
      </c>
      <c r="L44" s="1280" t="s">
        <v>417</v>
      </c>
      <c r="Q44" s="228"/>
      <c r="R44" s="312"/>
      <c r="S44" s="2576"/>
      <c r="T44" s="2524"/>
      <c r="U44" s="239"/>
      <c r="V44" s="1364" t="s">
        <v>477</v>
      </c>
      <c r="W44" s="1364" t="s">
        <v>478</v>
      </c>
      <c r="X44" s="1364" t="s">
        <v>477</v>
      </c>
      <c r="Y44" s="1364" t="s">
        <v>478</v>
      </c>
      <c r="Z44" s="1371" t="s">
        <v>445</v>
      </c>
      <c r="AA44" s="2529" t="s">
        <v>446</v>
      </c>
      <c r="AB44" s="2543"/>
      <c r="AC44" s="2582"/>
      <c r="AD44" s="2613"/>
      <c r="AE44" s="2614"/>
      <c r="AF44" s="2614"/>
      <c r="AG44" s="2615"/>
      <c r="AH44" s="2613"/>
      <c r="AI44" s="2614"/>
      <c r="AJ44" s="2614"/>
      <c r="AK44" s="2615"/>
      <c r="AL44" s="2613"/>
      <c r="AM44" s="2614"/>
      <c r="AN44" s="2614"/>
      <c r="AO44" s="2615"/>
      <c r="AP44" s="2613"/>
      <c r="AQ44" s="2614"/>
      <c r="AR44" s="2614"/>
      <c r="AS44" s="2615"/>
      <c r="AT44" s="1364" t="s">
        <v>477</v>
      </c>
      <c r="AU44" s="1364" t="s">
        <v>478</v>
      </c>
      <c r="AV44" s="1364" t="s">
        <v>477</v>
      </c>
      <c r="AW44" s="1364" t="s">
        <v>478</v>
      </c>
      <c r="AX44" s="1371" t="s">
        <v>445</v>
      </c>
      <c r="AY44" s="2529" t="s">
        <v>446</v>
      </c>
      <c r="AZ44" s="2543"/>
      <c r="BA44" s="2582"/>
      <c r="BB44" s="2585"/>
      <c r="BC44" s="2435"/>
      <c r="BI44" s="1071">
        <v>14</v>
      </c>
    </row>
    <row r="45" spans="1:61" s="2335" customFormat="1" ht="11.25"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109</v>
      </c>
      <c r="T45" s="1171" t="s">
        <v>110</v>
      </c>
      <c r="U45" s="1161" t="str">
        <f ca="1">OFFSET(U45,0,-1)</f>
        <v>2</v>
      </c>
      <c r="V45" s="1367">
        <f t="shared" ref="V45:AA45" ca="1" si="2">OFFSET(V45,0,-1)+1</f>
        <v>3</v>
      </c>
      <c r="W45" s="1367">
        <f t="shared" ca="1" si="2"/>
        <v>4</v>
      </c>
      <c r="X45" s="1367">
        <f t="shared" ca="1" si="2"/>
        <v>5</v>
      </c>
      <c r="Y45" s="1367">
        <f t="shared" ca="1" si="2"/>
        <v>6</v>
      </c>
      <c r="Z45" s="1367">
        <f t="shared" ca="1" si="2"/>
        <v>7</v>
      </c>
      <c r="AA45" s="2574">
        <f t="shared" ca="1" si="2"/>
        <v>8</v>
      </c>
      <c r="AB45" s="2574"/>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574">
        <f ca="1">OFFSET(AY45,0,-1)+1</f>
        <v>3</v>
      </c>
      <c r="AZ45" s="2574"/>
      <c r="BA45" s="1367">
        <f ca="1">OFFSET(BA45,0,-2)+1</f>
        <v>4</v>
      </c>
      <c r="BB45" s="1161">
        <f ca="1">OFFSET(BB45,0,-1)</f>
        <v>4</v>
      </c>
      <c r="BC45" s="1367">
        <f ca="1">OFFSET(BC45,0,-1)+1</f>
        <v>5</v>
      </c>
      <c r="BD45" s="447"/>
      <c r="BE45" s="447"/>
      <c r="BF45" s="447"/>
      <c r="BG45" s="447"/>
      <c r="BH45" s="447"/>
      <c r="BI45" s="432">
        <v>0</v>
      </c>
    </row>
    <row r="46" spans="1:61" ht="21.95" customHeight="1">
      <c r="A46" s="1279" t="s">
        <v>245</v>
      </c>
      <c r="B46" s="1279"/>
      <c r="C46" s="1279"/>
      <c r="D46" s="1279"/>
      <c r="E46" s="2563">
        <v>1</v>
      </c>
      <c r="F46" s="1279"/>
      <c r="G46" s="1279"/>
      <c r="H46" s="1279"/>
      <c r="I46" s="1279"/>
      <c r="J46" s="1279"/>
      <c r="K46" s="1279"/>
      <c r="L46" s="1280"/>
      <c r="M46" s="1281"/>
      <c r="N46" s="1281"/>
      <c r="O46" s="1281"/>
      <c r="P46" s="1325"/>
      <c r="Q46" s="799"/>
      <c r="R46" s="291"/>
      <c r="S46" s="1373">
        <f>INDEX(PT_DIFFERENTIATION_NUM_NTAR,MATCH(A46,PT_DIFFERENTIATION_NTAR_ID,0))</f>
        <v>0</v>
      </c>
      <c r="T46" s="235" t="s">
        <v>124</v>
      </c>
      <c r="U46" s="237"/>
      <c r="V46" s="2558"/>
      <c r="W46" s="2558"/>
      <c r="X46" s="2558"/>
      <c r="Y46" s="2558"/>
      <c r="Z46" s="2558"/>
      <c r="AA46" s="2558"/>
      <c r="AB46" s="2558"/>
      <c r="AC46" s="2559"/>
      <c r="AD46" s="2557" t="str">
        <f>INDEX(PT_DIFFERENTIATION_NTAR,MATCH(A46,PT_DIFFERENTIATION_NTAR_ID,0))</f>
        <v/>
      </c>
      <c r="AE46" s="2558"/>
      <c r="AF46" s="2558"/>
      <c r="AG46" s="2558"/>
      <c r="AH46" s="2558"/>
      <c r="AI46" s="2558"/>
      <c r="AJ46" s="2558"/>
      <c r="AK46" s="2558"/>
      <c r="AL46" s="2558"/>
      <c r="AM46" s="2558"/>
      <c r="AN46" s="2558"/>
      <c r="AO46" s="2558"/>
      <c r="AP46" s="2558"/>
      <c r="AQ46" s="2558"/>
      <c r="AR46" s="2558"/>
      <c r="AS46" s="2558"/>
      <c r="AT46" s="2558"/>
      <c r="AU46" s="2558"/>
      <c r="AV46" s="2558"/>
      <c r="AW46" s="2558"/>
      <c r="AX46" s="2558"/>
      <c r="AY46" s="2558"/>
      <c r="AZ46" s="2558"/>
      <c r="BA46" s="2558"/>
      <c r="BB46" s="2559"/>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245</v>
      </c>
      <c r="B47" s="1279" t="s">
        <v>246</v>
      </c>
      <c r="C47" s="1279"/>
      <c r="D47" s="1279"/>
      <c r="E47" s="2564"/>
      <c r="F47" s="2563">
        <v>1</v>
      </c>
      <c r="G47" s="1279"/>
      <c r="H47" s="1279"/>
      <c r="I47" s="1279"/>
      <c r="J47" s="1279"/>
      <c r="K47" s="1279"/>
      <c r="L47" s="1280"/>
      <c r="M47" s="1281"/>
      <c r="N47" s="1281"/>
      <c r="O47" s="1281"/>
      <c r="P47" s="1326"/>
      <c r="Q47" s="1327"/>
      <c r="R47" s="289"/>
      <c r="S47" s="1373" t="str">
        <f>INDEX(PT_DIFFERENTIATION_NUM_TER,MATCH(B47,PT_DIFFERENTIATION_TER_ID,0))</f>
        <v>.</v>
      </c>
      <c r="T47" s="245" t="s">
        <v>396</v>
      </c>
      <c r="U47" s="237"/>
      <c r="V47" s="2558"/>
      <c r="W47" s="2558"/>
      <c r="X47" s="2558"/>
      <c r="Y47" s="2558"/>
      <c r="Z47" s="2558"/>
      <c r="AA47" s="2558"/>
      <c r="AB47" s="2558"/>
      <c r="AC47" s="2559"/>
      <c r="AD47" s="2557" t="str">
        <f>INDEX(PT_DIFFERENTIATION_TER,MATCH(B47,PT_DIFFERENTIATION_TER_ID,0))</f>
        <v/>
      </c>
      <c r="AE47" s="2558"/>
      <c r="AF47" s="2558"/>
      <c r="AG47" s="2558"/>
      <c r="AH47" s="2558"/>
      <c r="AI47" s="2558"/>
      <c r="AJ47" s="2558"/>
      <c r="AK47" s="2558"/>
      <c r="AL47" s="2558"/>
      <c r="AM47" s="2558"/>
      <c r="AN47" s="2558"/>
      <c r="AO47" s="2558"/>
      <c r="AP47" s="2558"/>
      <c r="AQ47" s="2558"/>
      <c r="AR47" s="2558"/>
      <c r="AS47" s="2558"/>
      <c r="AT47" s="2558"/>
      <c r="AU47" s="2558"/>
      <c r="AV47" s="2558"/>
      <c r="AW47" s="2558"/>
      <c r="AX47" s="2558"/>
      <c r="AY47" s="2558"/>
      <c r="AZ47" s="2558"/>
      <c r="BA47" s="2558"/>
      <c r="BB47" s="2559"/>
      <c r="BC47" s="1174" t="s">
        <v>397</v>
      </c>
      <c r="BE47" s="436"/>
      <c r="BF47" s="436" t="str">
        <f t="shared" si="3"/>
        <v>Территория действия тарифа</v>
      </c>
      <c r="BG47" s="436"/>
      <c r="BH47" s="436"/>
      <c r="BI47" s="1071">
        <v>21</v>
      </c>
    </row>
    <row r="48" spans="1:61" ht="43.15" customHeight="1">
      <c r="A48" s="1279" t="s">
        <v>245</v>
      </c>
      <c r="B48" s="1279" t="s">
        <v>246</v>
      </c>
      <c r="C48" s="1279" t="s">
        <v>247</v>
      </c>
      <c r="D48" s="1279"/>
      <c r="E48" s="2564"/>
      <c r="F48" s="2564"/>
      <c r="G48" s="2563">
        <v>1</v>
      </c>
      <c r="H48" s="1279"/>
      <c r="I48" s="1279"/>
      <c r="J48" s="1279"/>
      <c r="K48" s="1279"/>
      <c r="L48" s="1280"/>
      <c r="M48" s="1281"/>
      <c r="N48" s="1281"/>
      <c r="O48" s="1281"/>
      <c r="P48" s="1328"/>
      <c r="Q48" s="1327"/>
      <c r="R48" s="289"/>
      <c r="S48" s="1373" t="str">
        <f>INDEX(PT_DIFFERENTIATION_NUM_CS,MATCH(C48,PT_DIFFERENTIATION_CS_ID,0))</f>
        <v>..</v>
      </c>
      <c r="T48" s="246" t="s">
        <v>480</v>
      </c>
      <c r="U48" s="237"/>
      <c r="V48" s="2558"/>
      <c r="W48" s="2558"/>
      <c r="X48" s="2558"/>
      <c r="Y48" s="2558"/>
      <c r="Z48" s="2558"/>
      <c r="AA48" s="2558"/>
      <c r="AB48" s="2558"/>
      <c r="AC48" s="2559"/>
      <c r="AD48" s="2557" t="str">
        <f>INDEX(PT_DIFFERENTIATION_CS,MATCH(C48,PT_DIFFERENTIATION_CS_ID,0))</f>
        <v/>
      </c>
      <c r="AE48" s="2558"/>
      <c r="AF48" s="2558"/>
      <c r="AG48" s="2558"/>
      <c r="AH48" s="2558"/>
      <c r="AI48" s="2558"/>
      <c r="AJ48" s="2558"/>
      <c r="AK48" s="2558"/>
      <c r="AL48" s="2558"/>
      <c r="AM48" s="2558"/>
      <c r="AN48" s="2558"/>
      <c r="AO48" s="2558"/>
      <c r="AP48" s="2558"/>
      <c r="AQ48" s="2558"/>
      <c r="AR48" s="2558"/>
      <c r="AS48" s="2558"/>
      <c r="AT48" s="2558"/>
      <c r="AU48" s="2558"/>
      <c r="AV48" s="2558"/>
      <c r="AW48" s="2558"/>
      <c r="AX48" s="2558"/>
      <c r="AY48" s="2558"/>
      <c r="AZ48" s="2558"/>
      <c r="BA48" s="2558"/>
      <c r="BB48" s="2559"/>
      <c r="BC48" s="1174" t="s">
        <v>481</v>
      </c>
      <c r="BE48" s="436"/>
      <c r="BF48" s="436" t="str">
        <f t="shared" si="3"/>
        <v>Наименование централизованной системы холодного водоснабжения</v>
      </c>
      <c r="BG48" s="436"/>
      <c r="BH48" s="436"/>
      <c r="BI48" s="1071">
        <v>41</v>
      </c>
    </row>
    <row r="49" spans="1:61" s="2344" customFormat="1" ht="0" hidden="1" customHeight="1">
      <c r="A49" s="1259" t="s">
        <v>245</v>
      </c>
      <c r="B49" s="1259" t="s">
        <v>246</v>
      </c>
      <c r="C49" s="1259" t="s">
        <v>247</v>
      </c>
      <c r="D49" s="1259" t="s">
        <v>514</v>
      </c>
      <c r="E49" s="2564"/>
      <c r="F49" s="2564"/>
      <c r="G49" s="2564"/>
      <c r="H49" s="2563">
        <v>1</v>
      </c>
      <c r="I49" s="1259"/>
      <c r="J49" s="1259"/>
      <c r="K49" s="1259"/>
      <c r="L49" s="1262"/>
      <c r="M49" s="1231"/>
      <c r="N49" s="1231"/>
      <c r="O49" s="1231"/>
      <c r="P49" s="1413"/>
      <c r="Q49" s="1414"/>
      <c r="R49" s="293"/>
      <c r="S49" s="964"/>
      <c r="T49" s="1415"/>
      <c r="U49" s="1300"/>
      <c r="V49" s="2595"/>
      <c r="W49" s="2595"/>
      <c r="X49" s="2595"/>
      <c r="Y49" s="2595"/>
      <c r="Z49" s="2595"/>
      <c r="AA49" s="2595"/>
      <c r="AB49" s="2595"/>
      <c r="AC49" s="2596"/>
      <c r="AD49" s="2594"/>
      <c r="AE49" s="2595"/>
      <c r="AF49" s="2595"/>
      <c r="AG49" s="2595"/>
      <c r="AH49" s="2595"/>
      <c r="AI49" s="2595"/>
      <c r="AJ49" s="2595"/>
      <c r="AK49" s="2595"/>
      <c r="AL49" s="2595"/>
      <c r="AM49" s="2595"/>
      <c r="AN49" s="2595"/>
      <c r="AO49" s="2595"/>
      <c r="AP49" s="2595"/>
      <c r="AQ49" s="2595"/>
      <c r="AR49" s="2595"/>
      <c r="AS49" s="2595"/>
      <c r="AT49" s="2595"/>
      <c r="AU49" s="2595"/>
      <c r="AV49" s="2595"/>
      <c r="AW49" s="2595"/>
      <c r="AX49" s="2595"/>
      <c r="AY49" s="2595"/>
      <c r="AZ49" s="2595"/>
      <c r="BA49" s="2595"/>
      <c r="BB49" s="2596"/>
      <c r="BC49" s="1301" t="s">
        <v>401</v>
      </c>
      <c r="BE49" s="436"/>
      <c r="BF49" s="436" t="str">
        <f t="shared" si="3"/>
        <v/>
      </c>
      <c r="BG49" s="436"/>
      <c r="BH49" s="436"/>
      <c r="BI49" s="447">
        <v>0</v>
      </c>
    </row>
    <row r="50" spans="1:61" s="2344" customFormat="1" ht="0" hidden="1" customHeight="1">
      <c r="A50" s="1259" t="s">
        <v>245</v>
      </c>
      <c r="B50" s="1259" t="s">
        <v>246</v>
      </c>
      <c r="C50" s="1259" t="s">
        <v>247</v>
      </c>
      <c r="D50" s="1259" t="s">
        <v>514</v>
      </c>
      <c r="E50" s="2564"/>
      <c r="F50" s="2564"/>
      <c r="G50" s="2564"/>
      <c r="H50" s="2564"/>
      <c r="I50" s="2565" t="str">
        <f>S49&amp;".1"</f>
        <v>.1</v>
      </c>
      <c r="J50" s="1259"/>
      <c r="K50" s="1259"/>
      <c r="L50" s="1262" t="s">
        <v>402</v>
      </c>
      <c r="M50" s="446"/>
      <c r="N50" s="446"/>
      <c r="O50" s="446"/>
      <c r="P50" s="2567">
        <v>1</v>
      </c>
      <c r="Q50" s="1378"/>
      <c r="R50" s="292"/>
      <c r="S50" s="964"/>
      <c r="T50" s="1299"/>
      <c r="U50" s="1300"/>
      <c r="V50" s="2595"/>
      <c r="W50" s="2595"/>
      <c r="X50" s="2595"/>
      <c r="Y50" s="2595"/>
      <c r="Z50" s="2595"/>
      <c r="AA50" s="2595"/>
      <c r="AB50" s="2595"/>
      <c r="AC50" s="2596"/>
      <c r="AD50" s="2594"/>
      <c r="AE50" s="2595"/>
      <c r="AF50" s="2595"/>
      <c r="AG50" s="2595"/>
      <c r="AH50" s="2595"/>
      <c r="AI50" s="2595"/>
      <c r="AJ50" s="2595"/>
      <c r="AK50" s="2595"/>
      <c r="AL50" s="2595"/>
      <c r="AM50" s="2595"/>
      <c r="AN50" s="2595"/>
      <c r="AO50" s="2595"/>
      <c r="AP50" s="2595"/>
      <c r="AQ50" s="2595"/>
      <c r="AR50" s="2595"/>
      <c r="AS50" s="2595"/>
      <c r="AT50" s="2595"/>
      <c r="AU50" s="2595"/>
      <c r="AV50" s="2595"/>
      <c r="AW50" s="2595"/>
      <c r="AX50" s="2595"/>
      <c r="AY50" s="2595"/>
      <c r="AZ50" s="2595"/>
      <c r="BA50" s="2595"/>
      <c r="BB50" s="2596"/>
      <c r="BC50" s="1301"/>
      <c r="BE50" s="436"/>
      <c r="BF50" s="436" t="str">
        <f t="shared" si="3"/>
        <v/>
      </c>
      <c r="BG50" s="436"/>
      <c r="BH50" s="436"/>
      <c r="BI50" s="447">
        <v>0</v>
      </c>
    </row>
    <row r="51" spans="1:61" s="2344" customFormat="1" ht="0" hidden="1" customHeight="1">
      <c r="A51" s="1259" t="s">
        <v>245</v>
      </c>
      <c r="B51" s="1259" t="s">
        <v>246</v>
      </c>
      <c r="C51" s="1259" t="s">
        <v>247</v>
      </c>
      <c r="D51" s="1259" t="s">
        <v>514</v>
      </c>
      <c r="E51" s="2564"/>
      <c r="F51" s="2564"/>
      <c r="G51" s="2564"/>
      <c r="H51" s="2564"/>
      <c r="I51" s="2566"/>
      <c r="J51" s="2565" t="str">
        <f>S49&amp;".1"</f>
        <v>.1</v>
      </c>
      <c r="K51" s="1259"/>
      <c r="L51" s="1262"/>
      <c r="M51" s="446"/>
      <c r="N51" s="446"/>
      <c r="O51" s="446"/>
      <c r="P51" s="2567"/>
      <c r="Q51" s="2567">
        <v>1</v>
      </c>
      <c r="R51" s="293"/>
      <c r="S51" s="964"/>
      <c r="T51" s="1315"/>
      <c r="U51" s="1300"/>
      <c r="V51" s="2595"/>
      <c r="W51" s="2595"/>
      <c r="X51" s="2595"/>
      <c r="Y51" s="2595"/>
      <c r="Z51" s="2595"/>
      <c r="AA51" s="2595"/>
      <c r="AB51" s="2595"/>
      <c r="AC51" s="2596"/>
      <c r="AD51" s="2594"/>
      <c r="AE51" s="2595"/>
      <c r="AF51" s="2595"/>
      <c r="AG51" s="2595"/>
      <c r="AH51" s="2595"/>
      <c r="AI51" s="2595"/>
      <c r="AJ51" s="2595"/>
      <c r="AK51" s="2595"/>
      <c r="AL51" s="2595"/>
      <c r="AM51" s="2595"/>
      <c r="AN51" s="2646"/>
      <c r="AO51" s="2646"/>
      <c r="AP51" s="2595"/>
      <c r="AQ51" s="2595"/>
      <c r="AR51" s="2595"/>
      <c r="AS51" s="2595"/>
      <c r="AT51" s="2595"/>
      <c r="AU51" s="2595"/>
      <c r="AV51" s="2595"/>
      <c r="AW51" s="2595"/>
      <c r="AX51" s="2595"/>
      <c r="AY51" s="2595"/>
      <c r="AZ51" s="2595"/>
      <c r="BA51" s="2595"/>
      <c r="BB51" s="2596"/>
      <c r="BC51" s="1301"/>
      <c r="BE51" s="436"/>
      <c r="BF51" s="436" t="str">
        <f t="shared" si="3"/>
        <v/>
      </c>
      <c r="BG51" s="436"/>
      <c r="BH51" s="436"/>
      <c r="BI51" s="447">
        <v>0</v>
      </c>
    </row>
    <row r="52" spans="1:61" ht="11.45" customHeight="1">
      <c r="A52" s="1279" t="s">
        <v>245</v>
      </c>
      <c r="B52" s="1279" t="s">
        <v>246</v>
      </c>
      <c r="C52" s="1279" t="s">
        <v>247</v>
      </c>
      <c r="D52" s="1279" t="s">
        <v>514</v>
      </c>
      <c r="E52" s="2564"/>
      <c r="F52" s="2564"/>
      <c r="G52" s="2564"/>
      <c r="H52" s="2564"/>
      <c r="I52" s="2566"/>
      <c r="J52" s="2566"/>
      <c r="K52" s="2565" t="str">
        <f>S48&amp;".1"</f>
        <v>...1</v>
      </c>
      <c r="L52" s="1280"/>
      <c r="P52" s="2567"/>
      <c r="Q52" s="2567"/>
      <c r="R52" s="293">
        <v>1</v>
      </c>
      <c r="S52" s="2620" t="str">
        <f>$K52</f>
        <v>...1</v>
      </c>
      <c r="T52" s="2640"/>
      <c r="U52" s="237"/>
      <c r="V52" s="687"/>
      <c r="W52" s="1173"/>
      <c r="X52" s="687"/>
      <c r="Y52" s="1173"/>
      <c r="Z52" s="1649"/>
      <c r="AA52" s="1375" t="s">
        <v>62</v>
      </c>
      <c r="AB52" s="1649"/>
      <c r="AC52" s="1375" t="s">
        <v>62</v>
      </c>
      <c r="AD52" s="2507" t="s">
        <v>62</v>
      </c>
      <c r="AE52" s="2616"/>
      <c r="AF52" s="2520">
        <v>1</v>
      </c>
      <c r="AG52" s="2639"/>
      <c r="AH52" s="2445" t="s">
        <v>62</v>
      </c>
      <c r="AI52" s="2616"/>
      <c r="AJ52" s="2520">
        <v>1</v>
      </c>
      <c r="AK52" s="2630" t="s">
        <v>22</v>
      </c>
      <c r="AL52" s="2445" t="s">
        <v>62</v>
      </c>
      <c r="AM52" s="2495"/>
      <c r="AN52" s="2520">
        <v>1</v>
      </c>
      <c r="AO52" s="2643"/>
      <c r="AP52" s="2644" t="s">
        <v>62</v>
      </c>
      <c r="AQ52" s="248"/>
      <c r="AR52" s="1379">
        <v>1</v>
      </c>
      <c r="AS52" s="1382" t="s">
        <v>22</v>
      </c>
      <c r="AT52" s="687"/>
      <c r="AU52" s="1173"/>
      <c r="AV52" s="687"/>
      <c r="AW52" s="1173"/>
      <c r="AX52" s="1649"/>
      <c r="AY52" s="1375" t="s">
        <v>62</v>
      </c>
      <c r="AZ52" s="1649"/>
      <c r="BA52" s="1375" t="s">
        <v>62</v>
      </c>
      <c r="BB52" s="1264"/>
      <c r="BC52" s="2586" t="s">
        <v>500</v>
      </c>
      <c r="BE52" s="436"/>
      <c r="BF52" s="436" t="str">
        <f t="shared" si="3"/>
        <v/>
      </c>
      <c r="BG52" s="436"/>
      <c r="BH52" s="436"/>
      <c r="BI52" s="1071">
        <v>11</v>
      </c>
    </row>
    <row r="53" spans="1:61" ht="11.45" customHeight="1">
      <c r="A53" s="1279"/>
      <c r="B53" s="1279"/>
      <c r="C53" s="1279"/>
      <c r="D53" s="1279"/>
      <c r="E53" s="2564"/>
      <c r="F53" s="2564"/>
      <c r="G53" s="2564"/>
      <c r="H53" s="2564"/>
      <c r="I53" s="2566"/>
      <c r="J53" s="2566"/>
      <c r="K53" s="2565"/>
      <c r="L53" s="1280"/>
      <c r="P53" s="2567"/>
      <c r="Q53" s="2567"/>
      <c r="R53" s="293"/>
      <c r="S53" s="2621"/>
      <c r="T53" s="2641"/>
      <c r="U53" s="237"/>
      <c r="V53" s="1309"/>
      <c r="W53" s="1412"/>
      <c r="X53" s="1309"/>
      <c r="Y53" s="1412"/>
      <c r="Z53" s="1309"/>
      <c r="AA53" s="1309"/>
      <c r="AB53" s="1309"/>
      <c r="AC53" s="1309"/>
      <c r="AD53" s="2508"/>
      <c r="AE53" s="2616"/>
      <c r="AF53" s="2520"/>
      <c r="AG53" s="2639"/>
      <c r="AH53" s="2445"/>
      <c r="AI53" s="2616"/>
      <c r="AJ53" s="2520"/>
      <c r="AK53" s="2630"/>
      <c r="AL53" s="2445"/>
      <c r="AM53" s="2500"/>
      <c r="AN53" s="2520"/>
      <c r="AO53" s="2643"/>
      <c r="AP53" s="2645"/>
      <c r="AQ53" s="253"/>
      <c r="AR53" s="352"/>
      <c r="AS53" s="352" t="s">
        <v>501</v>
      </c>
      <c r="AT53" s="1309"/>
      <c r="AU53" s="1412"/>
      <c r="AV53" s="1309"/>
      <c r="AW53" s="1412"/>
      <c r="AX53" s="1309"/>
      <c r="AY53" s="1309"/>
      <c r="AZ53" s="1309"/>
      <c r="BA53" s="1309"/>
      <c r="BB53" s="1313"/>
      <c r="BC53" s="2587"/>
      <c r="BE53" s="436"/>
      <c r="BF53" s="436"/>
      <c r="BG53" s="436"/>
      <c r="BH53" s="436"/>
      <c r="BI53" s="1071">
        <v>11</v>
      </c>
    </row>
    <row r="54" spans="1:61" ht="11.45" customHeight="1">
      <c r="A54" s="1279" t="s">
        <v>245</v>
      </c>
      <c r="B54" s="1279"/>
      <c r="C54" s="1279"/>
      <c r="D54" s="1279"/>
      <c r="E54" s="2564"/>
      <c r="F54" s="2564"/>
      <c r="G54" s="2564"/>
      <c r="H54" s="2564"/>
      <c r="I54" s="2566"/>
      <c r="J54" s="2566"/>
      <c r="K54" s="2565"/>
      <c r="L54" s="1280"/>
      <c r="P54" s="2567"/>
      <c r="Q54" s="2567"/>
      <c r="R54" s="293"/>
      <c r="S54" s="2621"/>
      <c r="T54" s="2641"/>
      <c r="U54" s="237"/>
      <c r="V54" s="1309"/>
      <c r="W54" s="1412"/>
      <c r="X54" s="1309"/>
      <c r="Y54" s="1412"/>
      <c r="Z54" s="1309"/>
      <c r="AA54" s="1309"/>
      <c r="AB54" s="1309"/>
      <c r="AC54" s="1309"/>
      <c r="AD54" s="2508"/>
      <c r="AE54" s="2616"/>
      <c r="AF54" s="2520"/>
      <c r="AG54" s="2639"/>
      <c r="AH54" s="2445"/>
      <c r="AI54" s="2616"/>
      <c r="AJ54" s="2520"/>
      <c r="AK54" s="2630"/>
      <c r="AL54" s="2445"/>
      <c r="AM54" s="253"/>
      <c r="AN54" s="1416"/>
      <c r="AO54" s="1416" t="s">
        <v>502</v>
      </c>
      <c r="AP54" s="352"/>
      <c r="AQ54" s="352"/>
      <c r="AR54" s="352"/>
      <c r="AS54" s="1309"/>
      <c r="AT54" s="1309"/>
      <c r="AU54" s="1412"/>
      <c r="AV54" s="1309"/>
      <c r="AW54" s="1412"/>
      <c r="AX54" s="1309"/>
      <c r="AY54" s="1309"/>
      <c r="AZ54" s="1309"/>
      <c r="BA54" s="1309"/>
      <c r="BB54" s="1313"/>
      <c r="BC54" s="2587"/>
      <c r="BE54" s="436"/>
      <c r="BF54" s="436"/>
      <c r="BG54" s="436"/>
      <c r="BH54" s="436"/>
      <c r="BI54" s="1071">
        <v>11</v>
      </c>
    </row>
    <row r="55" spans="1:61" ht="11.45" customHeight="1">
      <c r="A55" s="1279" t="s">
        <v>245</v>
      </c>
      <c r="B55" s="1279"/>
      <c r="C55" s="1279"/>
      <c r="D55" s="1279"/>
      <c r="E55" s="2564"/>
      <c r="F55" s="2564"/>
      <c r="G55" s="2564"/>
      <c r="H55" s="2564"/>
      <c r="I55" s="2566"/>
      <c r="J55" s="2566"/>
      <c r="K55" s="2565"/>
      <c r="L55" s="1280"/>
      <c r="P55" s="2567"/>
      <c r="Q55" s="2567"/>
      <c r="R55" s="293"/>
      <c r="S55" s="2621"/>
      <c r="T55" s="2641"/>
      <c r="U55" s="237"/>
      <c r="V55" s="1309"/>
      <c r="W55" s="1412"/>
      <c r="X55" s="1309"/>
      <c r="Y55" s="1412"/>
      <c r="Z55" s="1309"/>
      <c r="AA55" s="1309"/>
      <c r="AB55" s="1309"/>
      <c r="AC55" s="1309"/>
      <c r="AD55" s="2508"/>
      <c r="AE55" s="2616"/>
      <c r="AF55" s="2520"/>
      <c r="AG55" s="2639"/>
      <c r="AH55" s="2445"/>
      <c r="AI55" s="231"/>
      <c r="AJ55" s="351"/>
      <c r="AK55" s="250" t="s">
        <v>503</v>
      </c>
      <c r="AL55" s="1309"/>
      <c r="AM55" s="1309"/>
      <c r="AN55" s="1309"/>
      <c r="AO55" s="1309"/>
      <c r="AP55" s="1309"/>
      <c r="AQ55" s="1309"/>
      <c r="AR55" s="1309"/>
      <c r="AS55" s="1309"/>
      <c r="AT55" s="1309"/>
      <c r="AU55" s="1412"/>
      <c r="AV55" s="1309"/>
      <c r="AW55" s="1412"/>
      <c r="AX55" s="1309"/>
      <c r="AY55" s="1309"/>
      <c r="AZ55" s="1309"/>
      <c r="BA55" s="1309"/>
      <c r="BB55" s="1313"/>
      <c r="BC55" s="2587"/>
      <c r="BE55" s="436"/>
      <c r="BF55" s="436"/>
      <c r="BG55" s="436"/>
      <c r="BH55" s="436"/>
      <c r="BI55" s="1071">
        <v>11</v>
      </c>
    </row>
    <row r="56" spans="1:61" ht="11.45" customHeight="1">
      <c r="A56" s="1279" t="s">
        <v>245</v>
      </c>
      <c r="B56" s="1279" t="s">
        <v>246</v>
      </c>
      <c r="C56" s="1279" t="s">
        <v>247</v>
      </c>
      <c r="D56" s="1279" t="s">
        <v>514</v>
      </c>
      <c r="E56" s="2564"/>
      <c r="F56" s="2564"/>
      <c r="G56" s="2564"/>
      <c r="H56" s="2564"/>
      <c r="I56" s="2566"/>
      <c r="J56" s="2566"/>
      <c r="K56" s="2565"/>
      <c r="L56" s="1280"/>
      <c r="P56" s="2567"/>
      <c r="Q56" s="2567"/>
      <c r="R56" s="293"/>
      <c r="S56" s="2622"/>
      <c r="T56" s="2642"/>
      <c r="U56" s="237"/>
      <c r="V56" s="1309"/>
      <c r="W56" s="1310" t="str">
        <f>Z52&amp;"-"&amp;AB52</f>
        <v>-</v>
      </c>
      <c r="X56" s="1309"/>
      <c r="Y56" s="1310" t="str">
        <f>AB52&amp;"-"&amp;AD52</f>
        <v>-да</v>
      </c>
      <c r="Z56" s="1309"/>
      <c r="AA56" s="1309"/>
      <c r="AB56" s="1309"/>
      <c r="AC56" s="1309"/>
      <c r="AD56" s="2450"/>
      <c r="AE56" s="249"/>
      <c r="AF56" s="251"/>
      <c r="AG56" s="352" t="s">
        <v>504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587"/>
      <c r="BE56" s="436"/>
      <c r="BF56" s="436" t="str">
        <f t="shared" ref="BF56:BF63" si="4">IF(T56="","",T56)</f>
        <v/>
      </c>
      <c r="BG56" s="436"/>
      <c r="BH56" s="436"/>
      <c r="BI56" s="1071">
        <v>11</v>
      </c>
    </row>
    <row r="57" spans="1:61" ht="11.45" customHeight="1">
      <c r="A57" s="1279" t="s">
        <v>245</v>
      </c>
      <c r="B57" s="1279" t="s">
        <v>246</v>
      </c>
      <c r="C57" s="1279" t="s">
        <v>247</v>
      </c>
      <c r="D57" s="1279" t="s">
        <v>514</v>
      </c>
      <c r="E57" s="2564"/>
      <c r="F57" s="2564"/>
      <c r="G57" s="2564"/>
      <c r="H57" s="2564"/>
      <c r="I57" s="2566"/>
      <c r="J57" s="2565"/>
      <c r="K57" s="1279"/>
      <c r="L57" s="1280"/>
      <c r="P57" s="2567"/>
      <c r="Q57" s="2567"/>
      <c r="R57" s="292"/>
      <c r="S57" s="1194"/>
      <c r="T57" s="224" t="s">
        <v>467</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8"/>
      <c r="BE57" s="436"/>
      <c r="BF57" s="436" t="str">
        <f t="shared" si="4"/>
        <v>Добавить строку</v>
      </c>
      <c r="BG57" s="436"/>
      <c r="BH57" s="436"/>
      <c r="BI57" s="1071">
        <v>11</v>
      </c>
    </row>
    <row r="58" spans="1:61" s="2344" customFormat="1" ht="0" hidden="1" customHeight="1">
      <c r="A58" s="1259" t="s">
        <v>245</v>
      </c>
      <c r="B58" s="1259" t="s">
        <v>246</v>
      </c>
      <c r="C58" s="1259" t="s">
        <v>247</v>
      </c>
      <c r="D58" s="1259" t="s">
        <v>514</v>
      </c>
      <c r="E58" s="2564"/>
      <c r="F58" s="2564"/>
      <c r="G58" s="2564"/>
      <c r="H58" s="2564"/>
      <c r="I58" s="2565"/>
      <c r="J58" s="1259"/>
      <c r="K58" s="1259"/>
      <c r="L58" s="1262"/>
      <c r="M58" s="446"/>
      <c r="N58" s="446"/>
      <c r="O58" s="446"/>
      <c r="P58" s="2567"/>
      <c r="Q58" s="1378"/>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344" customFormat="1" ht="0" hidden="1" customHeight="1">
      <c r="A59" s="1259" t="s">
        <v>245</v>
      </c>
      <c r="B59" s="1259" t="s">
        <v>246</v>
      </c>
      <c r="C59" s="1259" t="s">
        <v>247</v>
      </c>
      <c r="D59" s="1259" t="s">
        <v>514</v>
      </c>
      <c r="E59" s="2564"/>
      <c r="F59" s="2564"/>
      <c r="G59" s="2564"/>
      <c r="H59" s="2563"/>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344" customFormat="1" ht="0" hidden="1" customHeight="1">
      <c r="A60" s="1259" t="s">
        <v>245</v>
      </c>
      <c r="B60" s="1259" t="s">
        <v>246</v>
      </c>
      <c r="C60" s="1259" t="s">
        <v>247</v>
      </c>
      <c r="D60" s="1230"/>
      <c r="E60" s="2564"/>
      <c r="F60" s="2564"/>
      <c r="G60" s="2563"/>
      <c r="H60" s="1230"/>
      <c r="I60" s="1230"/>
      <c r="J60" s="1230"/>
      <c r="K60" s="1230"/>
      <c r="L60" s="138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344" customFormat="1" ht="0" hidden="1" customHeight="1">
      <c r="A61" s="1259" t="s">
        <v>245</v>
      </c>
      <c r="B61" s="1259" t="s">
        <v>246</v>
      </c>
      <c r="C61" s="1230"/>
      <c r="D61" s="1230"/>
      <c r="E61" s="2564"/>
      <c r="F61" s="2563"/>
      <c r="G61" s="1230"/>
      <c r="H61" s="1230"/>
      <c r="I61" s="1230"/>
      <c r="J61" s="1230"/>
      <c r="K61" s="1230"/>
      <c r="L61" s="1380"/>
      <c r="M61" s="1237"/>
      <c r="N61" s="1237"/>
      <c r="P61" s="1232"/>
      <c r="Q61" s="1233"/>
      <c r="R61" s="1232"/>
      <c r="S61" s="1238"/>
      <c r="T61" s="1241" t="s">
        <v>414</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344" customFormat="1" ht="0" hidden="1" customHeight="1">
      <c r="A62" s="1259" t="s">
        <v>245</v>
      </c>
      <c r="B62" s="1259"/>
      <c r="C62" s="1259"/>
      <c r="D62" s="1259"/>
      <c r="E62" s="2563"/>
      <c r="F62" s="1259"/>
      <c r="G62" s="1259"/>
      <c r="H62" s="1259"/>
      <c r="I62" s="1259"/>
      <c r="J62" s="1259"/>
      <c r="K62" s="1259"/>
      <c r="L62" s="1262"/>
      <c r="M62" s="1237"/>
      <c r="N62" s="1237"/>
      <c r="O62" s="454"/>
      <c r="P62" s="316"/>
      <c r="Q62" s="1260"/>
      <c r="R62" s="316"/>
      <c r="S62" s="1238"/>
      <c r="T62" s="1241" t="s">
        <v>415</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344" customFormat="1" ht="0" hidden="1" customHeight="1">
      <c r="A63" s="1230"/>
      <c r="B63" s="1230"/>
      <c r="C63" s="1230"/>
      <c r="D63" s="1230"/>
      <c r="E63" s="1259"/>
      <c r="F63" s="1230"/>
      <c r="G63" s="1230"/>
      <c r="H63" s="1230"/>
      <c r="I63" s="1230"/>
      <c r="J63" s="1230"/>
      <c r="K63" s="1230"/>
      <c r="L63" s="1380"/>
      <c r="M63" s="1237"/>
      <c r="N63" s="1237"/>
      <c r="P63" s="1232"/>
      <c r="Q63" s="1233"/>
      <c r="R63" s="1232"/>
      <c r="S63" s="1238"/>
      <c r="T63" s="1241" t="s">
        <v>447</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9.899999999999999" customHeight="1">
      <c r="O65" s="473"/>
      <c r="S65" s="1169"/>
      <c r="T65" s="2562"/>
      <c r="U65" s="2562"/>
      <c r="V65" s="2562"/>
      <c r="W65" s="2562"/>
      <c r="X65" s="2562"/>
      <c r="Y65" s="2562"/>
      <c r="Z65" s="2562"/>
      <c r="AA65" s="2562"/>
      <c r="AB65" s="2562"/>
      <c r="AC65" s="2562"/>
      <c r="AD65" s="2562"/>
      <c r="AE65" s="2562"/>
      <c r="AF65" s="2562"/>
      <c r="AG65" s="2562"/>
      <c r="AH65" s="2562"/>
      <c r="AI65" s="2562"/>
      <c r="AJ65" s="2562"/>
      <c r="AK65" s="2562"/>
      <c r="AL65" s="2562"/>
      <c r="AM65" s="2562"/>
      <c r="AN65" s="2562"/>
      <c r="AO65" s="2562"/>
      <c r="AP65" s="2562"/>
      <c r="AQ65" s="2562"/>
      <c r="AR65" s="2562"/>
      <c r="AS65" s="2562"/>
      <c r="AT65" s="2562"/>
      <c r="AU65" s="2562"/>
      <c r="AV65" s="2562"/>
      <c r="AW65" s="2562"/>
      <c r="AX65" s="2562"/>
      <c r="AY65" s="2562"/>
      <c r="AZ65" s="2562"/>
      <c r="BA65" s="2562"/>
      <c r="BB65" s="2562"/>
      <c r="BC65" s="2562"/>
      <c r="BI65" s="1071">
        <v>19</v>
      </c>
    </row>
    <row r="66" spans="1:61" ht="14.65" customHeight="1">
      <c r="O66" s="473"/>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c r="BI66" s="1071">
        <v>14</v>
      </c>
    </row>
    <row r="67" spans="1:61" ht="19.899999999999999" customHeight="1">
      <c r="O67" s="473"/>
      <c r="S67" s="1169"/>
      <c r="T67" s="2562"/>
      <c r="U67" s="2562"/>
      <c r="V67" s="2562"/>
      <c r="W67" s="2562"/>
      <c r="X67" s="2562"/>
      <c r="Y67" s="2562"/>
      <c r="Z67" s="2562"/>
      <c r="AA67" s="2562"/>
      <c r="AB67" s="2562"/>
      <c r="AC67" s="2562"/>
      <c r="AD67" s="2562"/>
      <c r="AE67" s="2562"/>
      <c r="AF67" s="2562"/>
      <c r="AG67" s="2562"/>
      <c r="AH67" s="2562"/>
      <c r="AI67" s="2562"/>
      <c r="AJ67" s="2562"/>
      <c r="AK67" s="2562"/>
      <c r="AL67" s="2562"/>
      <c r="AM67" s="2562"/>
      <c r="AN67" s="2562"/>
      <c r="AO67" s="2562"/>
      <c r="AP67" s="2562"/>
      <c r="AQ67" s="2562"/>
      <c r="AR67" s="2562"/>
      <c r="AS67" s="2562"/>
      <c r="AT67" s="2562"/>
      <c r="AU67" s="2562"/>
      <c r="AV67" s="2562"/>
      <c r="AW67" s="2562"/>
      <c r="AX67" s="2562"/>
      <c r="AY67" s="2562"/>
      <c r="AZ67" s="2562"/>
      <c r="BA67" s="2562"/>
      <c r="BB67" s="2562"/>
      <c r="BC67" s="2562"/>
      <c r="BI67" s="1071">
        <v>19</v>
      </c>
    </row>
    <row r="68" spans="1:61" ht="14.65" customHeight="1">
      <c r="O68" s="473"/>
      <c r="BI68" s="1071">
        <v>14</v>
      </c>
    </row>
    <row r="69" spans="1:61" ht="14.25" hidden="1" customHeight="1">
      <c r="A69" s="1076" t="s">
        <v>82</v>
      </c>
      <c r="B69" s="1076">
        <v>0</v>
      </c>
      <c r="C69" s="1076">
        <v>0</v>
      </c>
      <c r="D69" s="1076">
        <v>0</v>
      </c>
      <c r="E69" s="1076">
        <v>0</v>
      </c>
      <c r="F69" s="1076">
        <v>0</v>
      </c>
      <c r="G69" s="1076">
        <v>0</v>
      </c>
      <c r="H69" s="1076">
        <v>0</v>
      </c>
      <c r="I69" s="1076">
        <v>0</v>
      </c>
      <c r="J69" s="1076">
        <v>0</v>
      </c>
      <c r="K69" s="1076">
        <v>0</v>
      </c>
      <c r="L69" s="1377">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4.140625" style="2357" hidden="1" customWidth="1"/>
    <col min="10" max="10" width="9.85546875" style="2357" hidden="1" customWidth="1"/>
    <col min="11" max="11" width="14.710937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4" width="24.7109375" style="2360" hidden="1" customWidth="1"/>
    <col min="25" max="25" width="11.7109375" style="2360" hidden="1" customWidth="1"/>
    <col min="26" max="26" width="3.7109375" style="2360" hidden="1" customWidth="1"/>
    <col min="27" max="27" width="11.7109375" style="2360" hidden="1" customWidth="1"/>
    <col min="28" max="28" width="8.5703125" style="2360" hidden="1" customWidth="1"/>
    <col min="29" max="29" width="24.7109375" style="2360" customWidth="1"/>
    <col min="30" max="31" width="24" style="2360" customWidth="1"/>
    <col min="32" max="32" width="11" style="2360" customWidth="1"/>
    <col min="33" max="33" width="3.7109375" style="2360" customWidth="1"/>
    <col min="34" max="34" width="11" style="2360" customWidth="1"/>
    <col min="35" max="35" width="8.5703125" style="2360" hidden="1" customWidth="1"/>
    <col min="36" max="36" width="4" style="2360" customWidth="1"/>
    <col min="37" max="37" width="115" style="2360" customWidth="1"/>
    <col min="38" max="42" width="10" style="2344" customWidth="1"/>
    <col min="43" max="43" width="10.5703125" style="2360" hidden="1"/>
  </cols>
  <sheetData>
    <row r="1" spans="1:43" ht="22.5" hidden="1" customHeight="1">
      <c r="X1" s="264"/>
      <c r="Y1" s="264"/>
      <c r="AE1" s="264"/>
      <c r="AF1" s="264"/>
      <c r="AQ1" s="1071" t="s">
        <v>14</v>
      </c>
    </row>
    <row r="2" spans="1:43" ht="23.25" hidden="1" customHeight="1">
      <c r="A2" s="1279"/>
      <c r="B2" s="1279"/>
      <c r="C2" s="1279"/>
      <c r="D2" s="1279"/>
      <c r="E2" s="2563">
        <v>1</v>
      </c>
      <c r="F2" s="1279"/>
      <c r="G2" s="1279"/>
      <c r="H2" s="1279"/>
      <c r="I2" s="1279"/>
      <c r="J2" s="1279"/>
      <c r="K2" s="1279"/>
      <c r="L2" s="1280"/>
      <c r="M2" s="1281"/>
      <c r="N2" s="1281"/>
      <c r="O2" s="1281"/>
      <c r="P2" s="297"/>
      <c r="Q2" s="296"/>
      <c r="R2" s="291"/>
      <c r="S2" s="1409" t="e">
        <f>INDEX(PT_DIFFERENTIATION_NUM_NTAR,MATCH(A2,PT_DIFFERENTIATION_NTAR_ID,0))</f>
        <v>#N/A</v>
      </c>
      <c r="T2" s="235" t="s">
        <v>124</v>
      </c>
      <c r="U2" s="237"/>
      <c r="V2" s="2557"/>
      <c r="W2" s="2558"/>
      <c r="X2" s="2558"/>
      <c r="Y2" s="2558"/>
      <c r="Z2" s="2558"/>
      <c r="AA2" s="2558"/>
      <c r="AB2" s="2559"/>
      <c r="AC2" s="2557" t="e">
        <f>INDEX(PT_DIFFERENTIATION_NTAR,MATCH(A2,PT_DIFFERENTIATION_NTAR_ID,0))</f>
        <v>#N/A</v>
      </c>
      <c r="AD2" s="2558"/>
      <c r="AE2" s="2558"/>
      <c r="AF2" s="2558"/>
      <c r="AG2" s="2558"/>
      <c r="AH2" s="2558"/>
      <c r="AI2" s="2558"/>
      <c r="AJ2" s="255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564"/>
      <c r="F3" s="2563">
        <v>1</v>
      </c>
      <c r="G3" s="1279"/>
      <c r="H3" s="1279"/>
      <c r="I3" s="1279"/>
      <c r="J3" s="1279"/>
      <c r="K3" s="1279"/>
      <c r="L3" s="1280"/>
      <c r="M3" s="1281"/>
      <c r="N3" s="1281"/>
      <c r="O3" s="1281"/>
      <c r="P3" s="1403"/>
      <c r="Q3" s="288"/>
      <c r="R3" s="289"/>
      <c r="S3" s="1409" t="e">
        <f>INDEX(PT_DIFFERENTIATION_NUM_TER,MATCH(B3,PT_DIFFERENTIATION_TER_ID,0))</f>
        <v>#N/A</v>
      </c>
      <c r="T3" s="245" t="s">
        <v>396</v>
      </c>
      <c r="U3" s="237"/>
      <c r="V3" s="2557"/>
      <c r="W3" s="2558"/>
      <c r="X3" s="2558"/>
      <c r="Y3" s="2558"/>
      <c r="Z3" s="2558"/>
      <c r="AA3" s="2558"/>
      <c r="AB3" s="2559"/>
      <c r="AC3" s="2557" t="e">
        <f>INDEX(PT_DIFFERENTIATION_TER,MATCH(B3,PT_DIFFERENTIATION_TER_ID,0))</f>
        <v>#N/A</v>
      </c>
      <c r="AD3" s="2558"/>
      <c r="AE3" s="2558"/>
      <c r="AF3" s="2558"/>
      <c r="AG3" s="2558"/>
      <c r="AH3" s="2558"/>
      <c r="AI3" s="2558"/>
      <c r="AJ3" s="2559"/>
      <c r="AK3" s="1174" t="s">
        <v>397</v>
      </c>
      <c r="AM3" s="436"/>
      <c r="AN3" s="436" t="str">
        <f t="shared" si="0"/>
        <v>Территория действия тарифа</v>
      </c>
      <c r="AO3" s="436"/>
      <c r="AP3" s="436"/>
      <c r="AQ3" s="1071">
        <v>0</v>
      </c>
    </row>
    <row r="4" spans="1:43" ht="23.25" hidden="1" customHeight="1">
      <c r="A4" s="1279"/>
      <c r="B4" s="1279"/>
      <c r="C4" s="1279"/>
      <c r="D4" s="1279"/>
      <c r="E4" s="2564"/>
      <c r="F4" s="2564"/>
      <c r="G4" s="2563">
        <v>1</v>
      </c>
      <c r="H4" s="1279"/>
      <c r="I4" s="1279"/>
      <c r="J4" s="1279"/>
      <c r="K4" s="1279"/>
      <c r="L4" s="1280"/>
      <c r="M4" s="1281"/>
      <c r="N4" s="1281"/>
      <c r="O4" s="1281"/>
      <c r="P4" s="290"/>
      <c r="Q4" s="288"/>
      <c r="R4" s="289"/>
      <c r="S4" s="1409" t="e">
        <f>INDEX(PT_DIFFERENTIATION_NUM_CS,MATCH(C4,PT_DIFFERENTIATION_CS_ID,0))</f>
        <v>#N/A</v>
      </c>
      <c r="T4" s="246" t="s">
        <v>515</v>
      </c>
      <c r="U4" s="237"/>
      <c r="V4" s="2557"/>
      <c r="W4" s="2558"/>
      <c r="X4" s="2558"/>
      <c r="Y4" s="2558"/>
      <c r="Z4" s="2558"/>
      <c r="AA4" s="2558"/>
      <c r="AB4" s="2559"/>
      <c r="AC4" s="2557" t="e">
        <f>INDEX(PT_DIFFERENTIATION_CS,MATCH(C4,PT_DIFFERENTIATION_CS_ID,0))</f>
        <v>#N/A</v>
      </c>
      <c r="AD4" s="2558"/>
      <c r="AE4" s="2558"/>
      <c r="AF4" s="2558"/>
      <c r="AG4" s="2558"/>
      <c r="AH4" s="2558"/>
      <c r="AI4" s="2558"/>
      <c r="AJ4" s="2559"/>
      <c r="AK4" s="1174" t="s">
        <v>516</v>
      </c>
      <c r="AM4" s="436"/>
      <c r="AN4" s="436" t="str">
        <f t="shared" si="0"/>
        <v>Наименование централизованной системы водоотведения</v>
      </c>
      <c r="AO4" s="436"/>
      <c r="AP4" s="436"/>
      <c r="AQ4" s="1071">
        <v>0</v>
      </c>
    </row>
    <row r="5" spans="1:43" ht="23.25" hidden="1" customHeight="1">
      <c r="A5" s="1279"/>
      <c r="B5" s="1279"/>
      <c r="C5" s="1279"/>
      <c r="D5" s="1279"/>
      <c r="E5" s="2564"/>
      <c r="F5" s="2564"/>
      <c r="G5" s="2564"/>
      <c r="H5" s="2564"/>
      <c r="I5" s="2565" t="e">
        <f>S4&amp;".1"</f>
        <v>#N/A</v>
      </c>
      <c r="J5" s="1279"/>
      <c r="K5" s="1279"/>
      <c r="L5" s="1280"/>
      <c r="P5" s="2567">
        <v>1</v>
      </c>
      <c r="Q5" s="1397"/>
      <c r="R5" s="292"/>
      <c r="S5" s="1409" t="e">
        <f>$I5</f>
        <v>#N/A</v>
      </c>
      <c r="T5" s="222" t="s">
        <v>482</v>
      </c>
      <c r="U5" s="237"/>
      <c r="V5" s="2631"/>
      <c r="W5" s="2632"/>
      <c r="X5" s="2632"/>
      <c r="Y5" s="2632"/>
      <c r="Z5" s="2632"/>
      <c r="AA5" s="2632"/>
      <c r="AB5" s="2633"/>
      <c r="AC5" s="2634"/>
      <c r="AD5" s="2635"/>
      <c r="AE5" s="2635"/>
      <c r="AF5" s="2635"/>
      <c r="AG5" s="2635"/>
      <c r="AH5" s="2635"/>
      <c r="AI5" s="2635"/>
      <c r="AJ5" s="2636"/>
      <c r="AK5" s="1174" t="s">
        <v>483</v>
      </c>
      <c r="AM5" s="436"/>
      <c r="AN5" s="436" t="str">
        <f t="shared" si="0"/>
        <v>Наименование признака дифференциации</v>
      </c>
      <c r="AO5" s="436"/>
      <c r="AP5" s="436"/>
      <c r="AQ5" s="1071">
        <v>0</v>
      </c>
    </row>
    <row r="6" spans="1:43" ht="23.25" hidden="1" customHeight="1">
      <c r="A6" s="1279"/>
      <c r="B6" s="1279"/>
      <c r="C6" s="1279"/>
      <c r="D6" s="1279"/>
      <c r="E6" s="2564"/>
      <c r="F6" s="2564"/>
      <c r="G6" s="2564"/>
      <c r="H6" s="2564"/>
      <c r="I6" s="2566"/>
      <c r="J6" s="2565" t="e">
        <f>I5&amp;".1"</f>
        <v>#N/A</v>
      </c>
      <c r="K6" s="1279"/>
      <c r="L6" s="1280" t="s">
        <v>405</v>
      </c>
      <c r="P6" s="2567"/>
      <c r="Q6" s="2567">
        <v>1</v>
      </c>
      <c r="R6" s="293"/>
      <c r="S6" s="1409" t="e">
        <f>$J6</f>
        <v>#N/A</v>
      </c>
      <c r="T6" s="223" t="s">
        <v>406</v>
      </c>
      <c r="U6" s="237"/>
      <c r="V6" s="2551"/>
      <c r="W6" s="2552"/>
      <c r="X6" s="2552"/>
      <c r="Y6" s="2552"/>
      <c r="Z6" s="2552"/>
      <c r="AA6" s="2552"/>
      <c r="AB6" s="2553"/>
      <c r="AC6" s="2551"/>
      <c r="AD6" s="2552"/>
      <c r="AE6" s="2552"/>
      <c r="AF6" s="2552"/>
      <c r="AG6" s="2552"/>
      <c r="AH6" s="2552"/>
      <c r="AI6" s="2552"/>
      <c r="AJ6" s="2553"/>
      <c r="AK6" s="1223" t="s">
        <v>484</v>
      </c>
      <c r="AM6" s="436"/>
      <c r="AN6" s="436" t="str">
        <f t="shared" si="0"/>
        <v>Группа потребителей</v>
      </c>
      <c r="AO6" s="436"/>
      <c r="AP6" s="436"/>
      <c r="AQ6" s="1071">
        <v>0</v>
      </c>
    </row>
    <row r="7" spans="1:43" ht="23.25" hidden="1" customHeight="1">
      <c r="A7" s="1279"/>
      <c r="B7" s="1279"/>
      <c r="C7" s="1279"/>
      <c r="D7" s="1279"/>
      <c r="E7" s="2564"/>
      <c r="F7" s="2564"/>
      <c r="G7" s="2564"/>
      <c r="H7" s="2564"/>
      <c r="I7" s="2566"/>
      <c r="J7" s="2566"/>
      <c r="K7" s="2565" t="e">
        <f>J6&amp;".1"</f>
        <v>#N/A</v>
      </c>
      <c r="L7" s="1280"/>
      <c r="P7" s="2567"/>
      <c r="Q7" s="2567"/>
      <c r="R7" s="293">
        <v>1</v>
      </c>
      <c r="S7" s="1409" t="e">
        <f>$K7</f>
        <v>#N/A</v>
      </c>
      <c r="T7" s="1353"/>
      <c r="U7" s="237"/>
      <c r="V7" s="687"/>
      <c r="W7" s="687"/>
      <c r="X7" s="1173"/>
      <c r="Y7" s="2568"/>
      <c r="Z7" s="2445" t="s">
        <v>62</v>
      </c>
      <c r="AA7" s="2568"/>
      <c r="AB7" s="2445" t="s">
        <v>62</v>
      </c>
      <c r="AC7" s="687"/>
      <c r="AD7" s="687"/>
      <c r="AE7" s="1173"/>
      <c r="AF7" s="2568"/>
      <c r="AG7" s="2445" t="s">
        <v>62</v>
      </c>
      <c r="AH7" s="2570"/>
      <c r="AI7" s="2445" t="s">
        <v>62</v>
      </c>
      <c r="AJ7" s="1354"/>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564"/>
      <c r="F8" s="2564"/>
      <c r="G8" s="2564"/>
      <c r="H8" s="2564"/>
      <c r="I8" s="2566"/>
      <c r="J8" s="2566"/>
      <c r="K8" s="2565"/>
      <c r="L8" s="1280"/>
      <c r="P8" s="2567"/>
      <c r="Q8" s="2567"/>
      <c r="R8" s="293"/>
      <c r="S8" s="1406"/>
      <c r="T8" s="237"/>
      <c r="U8" s="237"/>
      <c r="V8" s="262"/>
      <c r="W8" s="262"/>
      <c r="X8" s="265" t="str">
        <f>Y7&amp;"-"&amp;AA7</f>
        <v>-</v>
      </c>
      <c r="Y8" s="2569"/>
      <c r="Z8" s="2445"/>
      <c r="AA8" s="2569"/>
      <c r="AB8" s="2445"/>
      <c r="AC8" s="262"/>
      <c r="AD8" s="262"/>
      <c r="AE8" s="265" t="str">
        <f>AF7&amp;"-"&amp;AH7</f>
        <v>-</v>
      </c>
      <c r="AF8" s="2569"/>
      <c r="AG8" s="2445"/>
      <c r="AH8" s="2571"/>
      <c r="AI8" s="2445"/>
      <c r="AJ8" s="1355"/>
      <c r="AK8" s="2637"/>
      <c r="AM8" s="436"/>
      <c r="AN8" s="436" t="str">
        <f t="shared" si="0"/>
        <v/>
      </c>
      <c r="AO8" s="436"/>
      <c r="AP8" s="436"/>
      <c r="AQ8" s="1071">
        <v>0</v>
      </c>
    </row>
    <row r="9" spans="1:43" ht="21" hidden="1" customHeight="1">
      <c r="A9" s="1279"/>
      <c r="B9" s="1279"/>
      <c r="C9" s="1279"/>
      <c r="D9" s="1279"/>
      <c r="E9" s="2564"/>
      <c r="F9" s="2564"/>
      <c r="G9" s="2564"/>
      <c r="H9" s="2564"/>
      <c r="I9" s="2566"/>
      <c r="J9" s="2565"/>
      <c r="K9" s="1279"/>
      <c r="L9" s="1280"/>
      <c r="P9" s="2567"/>
      <c r="Q9" s="2567"/>
      <c r="R9" s="292"/>
      <c r="S9" s="1194"/>
      <c r="T9" s="224" t="s">
        <v>485</v>
      </c>
      <c r="U9" s="303"/>
      <c r="V9" s="303"/>
      <c r="W9" s="303"/>
      <c r="X9" s="303"/>
      <c r="Y9" s="303"/>
      <c r="Z9" s="303"/>
      <c r="AA9" s="303"/>
      <c r="AB9" s="303"/>
      <c r="AC9" s="303"/>
      <c r="AD9" s="303"/>
      <c r="AE9" s="303"/>
      <c r="AF9" s="303"/>
      <c r="AG9" s="303"/>
      <c r="AH9" s="303"/>
      <c r="AI9" s="303"/>
      <c r="AJ9" s="303"/>
      <c r="AK9" s="1174" t="s">
        <v>486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564"/>
      <c r="F10" s="2564"/>
      <c r="G10" s="2564"/>
      <c r="H10" s="2564"/>
      <c r="I10" s="2565"/>
      <c r="J10" s="1279"/>
      <c r="K10" s="1279"/>
      <c r="L10" s="1280"/>
      <c r="P10" s="2567"/>
      <c r="Q10" s="1397"/>
      <c r="R10" s="292"/>
      <c r="S10" s="1194"/>
      <c r="T10" s="301" t="s">
        <v>411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564"/>
      <c r="F11" s="2564"/>
      <c r="G11" s="2564"/>
      <c r="H11" s="2563"/>
      <c r="I11" s="1279"/>
      <c r="J11" s="1279"/>
      <c r="K11" s="1279"/>
      <c r="L11" s="1280"/>
      <c r="M11" s="1281"/>
      <c r="N11" s="1281"/>
      <c r="O11" s="473"/>
      <c r="P11" s="296"/>
      <c r="Q11" s="311"/>
      <c r="R11" s="291"/>
      <c r="S11" s="119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344" customFormat="1" ht="14.25" hidden="1" customHeight="1">
      <c r="A12" s="1259"/>
      <c r="B12" s="1259"/>
      <c r="C12" s="1230"/>
      <c r="D12" s="1230"/>
      <c r="E12" s="2564"/>
      <c r="F12" s="2563"/>
      <c r="G12" s="1230"/>
      <c r="H12" s="1230"/>
      <c r="I12" s="1230"/>
      <c r="J12" s="1230"/>
      <c r="K12" s="1230"/>
      <c r="L12" s="1410"/>
      <c r="M12" s="1237"/>
      <c r="N12" s="1237"/>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344" customFormat="1" ht="14.25" hidden="1" customHeight="1">
      <c r="A13" s="1259"/>
      <c r="B13" s="1259"/>
      <c r="C13" s="1259"/>
      <c r="D13" s="1259"/>
      <c r="E13" s="2563"/>
      <c r="F13" s="1259"/>
      <c r="G13" s="1259"/>
      <c r="H13" s="1259"/>
      <c r="I13" s="1259"/>
      <c r="J13" s="1259"/>
      <c r="K13" s="1259"/>
      <c r="L13" s="1262"/>
      <c r="M13" s="1237"/>
      <c r="N13" s="1237"/>
      <c r="O13" s="454"/>
      <c r="P13" s="316"/>
      <c r="Q13" s="1260"/>
      <c r="R13" s="316"/>
      <c r="S13" s="1238"/>
      <c r="T13" s="1241" t="s">
        <v>415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61"/>
      <c r="AG15" s="2560" t="s">
        <v>62</v>
      </c>
      <c r="AH15" s="2561"/>
      <c r="AI15" s="2560" t="s">
        <v>62</v>
      </c>
      <c r="AQ15" s="1071">
        <v>0</v>
      </c>
    </row>
    <row r="16" spans="1:43" ht="14.25" hidden="1" customHeight="1">
      <c r="AC16" s="1276"/>
      <c r="AD16" s="1276"/>
      <c r="AE16" s="265" t="str">
        <f>AF15&amp;"-"&amp;AH15</f>
        <v>-</v>
      </c>
      <c r="AF16" s="2560"/>
      <c r="AG16" s="2560"/>
      <c r="AH16" s="2560"/>
      <c r="AI16" s="2560"/>
      <c r="AQ16" s="1071">
        <v>0</v>
      </c>
    </row>
    <row r="17" spans="1:43" ht="14.25" hidden="1" customHeight="1">
      <c r="AI17" s="264"/>
      <c r="AQ17" s="1071">
        <v>0</v>
      </c>
    </row>
    <row r="18" spans="1:43" s="2357" customFormat="1" ht="22.5" hidden="1" customHeight="1">
      <c r="L18" s="1394"/>
      <c r="M18" s="1278"/>
      <c r="N18" s="1278"/>
      <c r="O18" s="1283" t="s">
        <v>416</v>
      </c>
      <c r="P18" s="1278"/>
      <c r="Q18" s="1287"/>
      <c r="R18" s="1287"/>
      <c r="S18" s="665"/>
      <c r="Y18" s="1283"/>
      <c r="AA18" s="1283"/>
      <c r="AB18" s="1282"/>
      <c r="AF18" s="1283"/>
      <c r="AH18" s="1283"/>
      <c r="AI18" s="1282"/>
      <c r="AL18" s="447"/>
      <c r="AM18" s="447"/>
      <c r="AN18" s="447"/>
      <c r="AO18" s="447"/>
      <c r="AP18" s="447"/>
      <c r="AQ18" s="1076">
        <v>0</v>
      </c>
    </row>
    <row r="19" spans="1:43" s="2357" customFormat="1" ht="14.25" hidden="1" customHeight="1">
      <c r="L19" s="1394"/>
      <c r="M19" s="1278"/>
      <c r="N19" s="1278"/>
      <c r="O19" s="1278"/>
      <c r="P19" s="1278"/>
      <c r="Q19" s="1287"/>
      <c r="R19" s="1287"/>
      <c r="S19" s="665"/>
      <c r="AB19" s="1282"/>
      <c r="AI19" s="1282"/>
      <c r="AL19" s="447"/>
      <c r="AM19" s="447"/>
      <c r="AN19" s="447"/>
      <c r="AO19" s="447"/>
      <c r="AP19" s="447"/>
      <c r="AQ19" s="1076">
        <v>0</v>
      </c>
    </row>
    <row r="20" spans="1:43" s="2357" customFormat="1" ht="12" hidden="1" customHeight="1">
      <c r="L20" s="1394"/>
      <c r="M20" s="1278"/>
      <c r="N20" s="1278"/>
      <c r="O20" s="1280" t="s">
        <v>417</v>
      </c>
      <c r="P20" s="1278"/>
      <c r="Q20" s="1358"/>
      <c r="R20" s="1358"/>
      <c r="S20" s="665"/>
      <c r="T20" s="1076" t="s">
        <v>418</v>
      </c>
      <c r="Z20" s="123" t="s">
        <v>419</v>
      </c>
      <c r="AB20" s="123" t="s">
        <v>420</v>
      </c>
      <c r="AC20" s="1076" t="s">
        <v>418</v>
      </c>
      <c r="AG20" s="123" t="s">
        <v>421</v>
      </c>
      <c r="AI20" s="123" t="s">
        <v>420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9"/>
      <c r="AQ24" s="1071">
        <v>14</v>
      </c>
    </row>
    <row r="25" spans="1:43" ht="14.65" customHeight="1">
      <c r="Q25" s="312"/>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380" customFormat="1" ht="25.5" hidden="1" customHeight="1">
      <c r="A27" s="1284"/>
      <c r="B27" s="1284"/>
      <c r="C27" s="1284"/>
      <c r="D27" s="1284"/>
      <c r="E27" s="1284"/>
      <c r="F27" s="1284"/>
      <c r="G27" s="1284"/>
      <c r="H27" s="1284"/>
      <c r="I27" s="1284"/>
      <c r="J27" s="1284"/>
      <c r="K27" s="1284"/>
      <c r="L27" s="1285"/>
      <c r="M27" s="1284"/>
      <c r="N27" s="1284"/>
      <c r="O27" s="1284"/>
      <c r="S27" s="2554" t="s">
        <v>41</v>
      </c>
      <c r="T27" s="2554"/>
      <c r="U27" s="1288"/>
      <c r="V27" s="2556" t="str">
        <f>IF(TITLE_NAME_OR_PR_CHANGE="",IF(TITLE_NAME_OR_PR="","",TITLE_NAME_OR_PR),TITLE_NAME_OR_PR_CHANGE)</f>
        <v/>
      </c>
      <c r="W27" s="2556"/>
      <c r="X27" s="2556"/>
      <c r="Y27" s="2556"/>
      <c r="Z27" s="2556"/>
      <c r="AA27" s="2556"/>
      <c r="AB27" s="263"/>
      <c r="AC27" s="2556" t="str">
        <f>IF(TITLE_NAME_OR_PR_CHANGE="",IF(TITLE_NAME_OR_PR="","",TITLE_NAME_OR_PR),TITLE_NAME_OR_PR_CHANGE)</f>
        <v/>
      </c>
      <c r="AD27" s="2556"/>
      <c r="AE27" s="2556"/>
      <c r="AF27" s="2556"/>
      <c r="AG27" s="2556"/>
      <c r="AH27" s="2556"/>
      <c r="AI27" s="263"/>
      <c r="AJ27" s="263"/>
      <c r="AK27" s="217"/>
      <c r="AL27" s="304"/>
      <c r="AM27" s="304"/>
      <c r="AN27" s="304"/>
      <c r="AO27" s="304"/>
      <c r="AP27" s="304"/>
      <c r="AQ27" s="354">
        <v>0</v>
      </c>
    </row>
    <row r="28" spans="1:43" s="2380" customFormat="1" ht="18.75" hidden="1" customHeight="1">
      <c r="A28" s="1284"/>
      <c r="B28" s="1284"/>
      <c r="C28" s="1284"/>
      <c r="D28" s="1284"/>
      <c r="E28" s="1284"/>
      <c r="F28" s="1284"/>
      <c r="G28" s="1284"/>
      <c r="H28" s="1284"/>
      <c r="I28" s="1284"/>
      <c r="J28" s="1284"/>
      <c r="K28" s="1284"/>
      <c r="L28" s="1285"/>
      <c r="M28" s="1284"/>
      <c r="N28" s="1284"/>
      <c r="O28" s="1284"/>
      <c r="S28" s="2554" t="s">
        <v>422</v>
      </c>
      <c r="T28" s="2554"/>
      <c r="U28" s="1288"/>
      <c r="V28" s="2555" t="str">
        <f>IF(TITLE_DATE_PR_CHANGE="",IF(TITLE_DATE_PR="","",TITLE_DATE_PR),TITLE_DATE_PR_CHANGE)</f>
        <v/>
      </c>
      <c r="W28" s="2555"/>
      <c r="X28" s="2555"/>
      <c r="Y28" s="2555"/>
      <c r="Z28" s="2555"/>
      <c r="AA28" s="2555"/>
      <c r="AB28" s="263"/>
      <c r="AC28" s="2555" t="str">
        <f>IF(TITLE_DATE_PR_CHANGE="",IF(TITLE_DATE_PR="","",TITLE_DATE_PR),TITLE_DATE_PR_CHANGE)</f>
        <v/>
      </c>
      <c r="AD28" s="2555"/>
      <c r="AE28" s="2555"/>
      <c r="AF28" s="2555"/>
      <c r="AG28" s="2555"/>
      <c r="AH28" s="2555"/>
      <c r="AI28" s="263"/>
      <c r="AJ28" s="263"/>
      <c r="AK28" s="217"/>
      <c r="AL28" s="304"/>
      <c r="AM28" s="304"/>
      <c r="AN28" s="304"/>
      <c r="AO28" s="304"/>
      <c r="AP28" s="304"/>
      <c r="AQ28" s="354">
        <v>0</v>
      </c>
    </row>
    <row r="29" spans="1:43" s="2380" customFormat="1" ht="18.75" hidden="1" customHeight="1">
      <c r="A29" s="1284"/>
      <c r="B29" s="1284"/>
      <c r="C29" s="1284"/>
      <c r="D29" s="1284"/>
      <c r="E29" s="1284"/>
      <c r="F29" s="1284"/>
      <c r="G29" s="1284"/>
      <c r="H29" s="1284"/>
      <c r="I29" s="1284"/>
      <c r="J29" s="1284"/>
      <c r="K29" s="1284"/>
      <c r="L29" s="1285"/>
      <c r="M29" s="1284"/>
      <c r="N29" s="1284"/>
      <c r="O29" s="1284"/>
      <c r="S29" s="2554" t="s">
        <v>423</v>
      </c>
      <c r="T29" s="2554"/>
      <c r="U29" s="1288"/>
      <c r="V29" s="2556" t="str">
        <f>IF(TITLE_NUMBER_PR_CHANGE="",IF(TITLE_NUMBER_PR="","",TITLE_NUMBER_PR),TITLE_NUMBER_PR_CHANGE)</f>
        <v/>
      </c>
      <c r="W29" s="2556"/>
      <c r="X29" s="2556"/>
      <c r="Y29" s="2556"/>
      <c r="Z29" s="2556"/>
      <c r="AA29" s="2556"/>
      <c r="AB29" s="263"/>
      <c r="AC29" s="2556" t="str">
        <f>IF(TITLE_NUMBER_PR_CHANGE="",IF(TITLE_NUMBER_PR="","",TITLE_NUMBER_PR),TITLE_NUMBER_PR_CHANGE)</f>
        <v/>
      </c>
      <c r="AD29" s="2556"/>
      <c r="AE29" s="2556"/>
      <c r="AF29" s="2556"/>
      <c r="AG29" s="2556"/>
      <c r="AH29" s="2556"/>
      <c r="AI29" s="263"/>
      <c r="AJ29" s="263"/>
      <c r="AK29" s="217"/>
      <c r="AL29" s="304"/>
      <c r="AM29" s="304"/>
      <c r="AN29" s="304"/>
      <c r="AO29" s="304"/>
      <c r="AP29" s="304"/>
      <c r="AQ29" s="354">
        <v>0</v>
      </c>
    </row>
    <row r="30" spans="1:43" s="2380" customFormat="1" ht="18.75" hidden="1" customHeight="1">
      <c r="A30" s="1284"/>
      <c r="B30" s="1284"/>
      <c r="C30" s="1284"/>
      <c r="D30" s="1284"/>
      <c r="E30" s="1284"/>
      <c r="F30" s="1284"/>
      <c r="G30" s="1284"/>
      <c r="H30" s="1284"/>
      <c r="I30" s="1284"/>
      <c r="J30" s="1284"/>
      <c r="K30" s="1284"/>
      <c r="L30" s="1285"/>
      <c r="M30" s="1284"/>
      <c r="N30" s="1284"/>
      <c r="O30" s="1284"/>
      <c r="S30" s="2554" t="s">
        <v>42</v>
      </c>
      <c r="T30" s="2554"/>
      <c r="U30" s="1288"/>
      <c r="V30" s="2556" t="str">
        <f>IF(TITLE_IST_PUB_CHANGE="",IF(TITLE_IST_PUB="","",TITLE_IST_PUB),TITLE_IST_PUB_CHANGE)</f>
        <v/>
      </c>
      <c r="W30" s="2556"/>
      <c r="X30" s="2556"/>
      <c r="Y30" s="2556"/>
      <c r="Z30" s="2556"/>
      <c r="AA30" s="2556"/>
      <c r="AB30" s="263"/>
      <c r="AC30" s="2556" t="str">
        <f>IF(TITLE_IST_PUB_CHANGE="",IF(TITLE_IST_PUB="","",TITLE_IST_PUB),TITLE_IST_PUB_CHANGE)</f>
        <v/>
      </c>
      <c r="AD30" s="2556"/>
      <c r="AE30" s="2556"/>
      <c r="AF30" s="2556"/>
      <c r="AG30" s="2556"/>
      <c r="AH30" s="2556"/>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380" customFormat="1" ht="18.75" hidden="1" customHeight="1">
      <c r="A32" s="1284"/>
      <c r="B32" s="1284"/>
      <c r="C32" s="1284"/>
      <c r="D32" s="1284"/>
      <c r="E32" s="1284"/>
      <c r="F32" s="1284"/>
      <c r="G32" s="1284"/>
      <c r="H32" s="1284"/>
      <c r="I32" s="1284"/>
      <c r="J32" s="1284"/>
      <c r="K32" s="1284"/>
      <c r="L32" s="1285"/>
      <c r="M32" s="1284"/>
      <c r="N32" s="1284"/>
      <c r="O32" s="1284"/>
      <c r="S32" s="2554" t="s">
        <v>424</v>
      </c>
      <c r="T32" s="2554"/>
      <c r="U32" s="1288"/>
      <c r="V32" s="2555" t="str">
        <f>IF(TITLE_DATE_PR_CHANGE="",IF(TITLE_DATE_PR="","",TITLE_DATE_PR),TITLE_DATE_PR_CHANGE)</f>
        <v/>
      </c>
      <c r="W32" s="2555"/>
      <c r="X32" s="2555"/>
      <c r="Y32" s="2555"/>
      <c r="Z32" s="2555"/>
      <c r="AA32" s="2555"/>
      <c r="AB32" s="263"/>
      <c r="AC32" s="2555" t="str">
        <f>IF(TITLE_DATE_PR_CHANGE="",IF(TITLE_DATE_PR="","",TITLE_DATE_PR),TITLE_DATE_PR_CHANGE)</f>
        <v/>
      </c>
      <c r="AD32" s="2555"/>
      <c r="AE32" s="2555"/>
      <c r="AF32" s="2555"/>
      <c r="AG32" s="2555"/>
      <c r="AH32" s="2555"/>
      <c r="AI32" s="263"/>
      <c r="AJ32" s="263"/>
      <c r="AK32" s="217"/>
      <c r="AL32" s="304"/>
      <c r="AM32" s="304"/>
      <c r="AN32" s="304"/>
      <c r="AO32" s="304"/>
      <c r="AP32" s="304"/>
      <c r="AQ32" s="354">
        <v>0</v>
      </c>
    </row>
    <row r="33" spans="1:43" s="2380" customFormat="1" ht="18.75" hidden="1" customHeight="1">
      <c r="A33" s="1284"/>
      <c r="B33" s="1284"/>
      <c r="C33" s="1284"/>
      <c r="D33" s="1284"/>
      <c r="E33" s="1284"/>
      <c r="F33" s="1284"/>
      <c r="G33" s="1284"/>
      <c r="H33" s="1284"/>
      <c r="I33" s="1284"/>
      <c r="J33" s="1284"/>
      <c r="K33" s="1284"/>
      <c r="L33" s="1285"/>
      <c r="M33" s="1284"/>
      <c r="N33" s="1284"/>
      <c r="O33" s="1284"/>
      <c r="S33" s="2554" t="s">
        <v>425</v>
      </c>
      <c r="T33" s="2554"/>
      <c r="U33" s="1288"/>
      <c r="V33" s="2556" t="str">
        <f>IF(TITLE_NUMBER_PR_CHANGE="",IF(TITLE_NUMBER_PR="","",TITLE_NUMBER_PR),TITLE_NUMBER_PR_CHANGE)</f>
        <v/>
      </c>
      <c r="W33" s="2556"/>
      <c r="X33" s="2556"/>
      <c r="Y33" s="2556"/>
      <c r="Z33" s="2556"/>
      <c r="AA33" s="2556"/>
      <c r="AB33" s="263"/>
      <c r="AC33" s="2556" t="str">
        <f>IF(TITLE_NUMBER_PR_CHANGE="",IF(TITLE_NUMBER_PR="","",TITLE_NUMBER_PR),TITLE_NUMBER_PR_CHANGE)</f>
        <v/>
      </c>
      <c r="AD33" s="2556"/>
      <c r="AE33" s="2556"/>
      <c r="AF33" s="2556"/>
      <c r="AG33" s="2556"/>
      <c r="AH33" s="2556"/>
      <c r="AI33" s="263"/>
      <c r="AJ33" s="263"/>
      <c r="AK33" s="217"/>
      <c r="AL33" s="304"/>
      <c r="AM33" s="304"/>
      <c r="AN33" s="304"/>
      <c r="AO33" s="304"/>
      <c r="AP33" s="304"/>
      <c r="AQ33" s="354">
        <v>0</v>
      </c>
    </row>
    <row r="34" spans="1:43" s="2380"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1"/>
      <c r="T35" s="299"/>
      <c r="U35" s="1160"/>
      <c r="V35" s="2575"/>
      <c r="W35" s="2575"/>
      <c r="X35" s="2575"/>
      <c r="Y35" s="2575"/>
      <c r="Z35" s="2575"/>
      <c r="AA35" s="2575"/>
      <c r="AB35" s="2575"/>
      <c r="AC35" s="2575"/>
      <c r="AD35" s="2575"/>
      <c r="AE35" s="2575"/>
      <c r="AF35" s="2575"/>
      <c r="AG35" s="2575"/>
      <c r="AH35" s="2575"/>
      <c r="AI35" s="2575"/>
      <c r="AQ35" s="1071">
        <v>14</v>
      </c>
    </row>
    <row r="36" spans="1:43" ht="14.65" customHeight="1">
      <c r="Q36" s="312"/>
      <c r="R36" s="312"/>
      <c r="S36" s="2435" t="s">
        <v>299</v>
      </c>
      <c r="T36" s="2435"/>
      <c r="U36" s="2435"/>
      <c r="V36" s="2435"/>
      <c r="W36" s="2435"/>
      <c r="X36" s="2435"/>
      <c r="Y36" s="2435"/>
      <c r="Z36" s="2435"/>
      <c r="AA36" s="2435"/>
      <c r="AB36" s="2435"/>
      <c r="AC36" s="2435"/>
      <c r="AD36" s="2435"/>
      <c r="AE36" s="2435"/>
      <c r="AF36" s="2435"/>
      <c r="AG36" s="2435"/>
      <c r="AH36" s="2435"/>
      <c r="AI36" s="2435"/>
      <c r="AJ36" s="2435"/>
      <c r="AK36" s="2435" t="s">
        <v>300</v>
      </c>
      <c r="AQ36" s="1071">
        <v>14</v>
      </c>
    </row>
    <row r="37" spans="1:43" ht="14.65" customHeight="1">
      <c r="Q37" s="312"/>
      <c r="R37" s="312"/>
      <c r="S37" s="2576" t="s">
        <v>88</v>
      </c>
      <c r="T37" s="2524" t="s">
        <v>427</v>
      </c>
      <c r="U37" s="238"/>
      <c r="V37" s="2577" t="s">
        <v>428</v>
      </c>
      <c r="W37" s="2578"/>
      <c r="X37" s="2578"/>
      <c r="Y37" s="2578"/>
      <c r="Z37" s="2578"/>
      <c r="AA37" s="2579"/>
      <c r="AB37" s="2580" t="s">
        <v>429</v>
      </c>
      <c r="AC37" s="2577" t="s">
        <v>428</v>
      </c>
      <c r="AD37" s="2578"/>
      <c r="AE37" s="2578"/>
      <c r="AF37" s="2578"/>
      <c r="AG37" s="2578"/>
      <c r="AH37" s="2579"/>
      <c r="AI37" s="2580" t="s">
        <v>430</v>
      </c>
      <c r="AJ37" s="2583" t="s">
        <v>431</v>
      </c>
      <c r="AK37" s="2435"/>
      <c r="AQ37" s="1071">
        <v>14</v>
      </c>
    </row>
    <row r="38" spans="1:43" ht="35.65" customHeight="1">
      <c r="Q38" s="312"/>
      <c r="R38" s="312"/>
      <c r="S38" s="2576"/>
      <c r="T38" s="2524"/>
      <c r="U38" s="953"/>
      <c r="V38" s="1399" t="s">
        <v>488</v>
      </c>
      <c r="W38" s="2417" t="s">
        <v>434</v>
      </c>
      <c r="X38" s="2416"/>
      <c r="Y38" s="2417" t="s">
        <v>435</v>
      </c>
      <c r="Z38" s="2422"/>
      <c r="AA38" s="2416"/>
      <c r="AB38" s="2581"/>
      <c r="AC38" s="1399" t="s">
        <v>488</v>
      </c>
      <c r="AD38" s="2417" t="s">
        <v>434</v>
      </c>
      <c r="AE38" s="2416"/>
      <c r="AF38" s="2417" t="s">
        <v>435</v>
      </c>
      <c r="AG38" s="2422"/>
      <c r="AH38" s="2416"/>
      <c r="AI38" s="2581"/>
      <c r="AJ38" s="2584"/>
      <c r="AK38" s="2435"/>
      <c r="AQ38" s="1071">
        <v>34</v>
      </c>
    </row>
    <row r="39" spans="1:43" ht="90.4" customHeight="1">
      <c r="A39" s="1286"/>
      <c r="B39" s="1286" t="s">
        <v>136</v>
      </c>
      <c r="C39" s="1286" t="s">
        <v>137</v>
      </c>
      <c r="D39" s="1286" t="s">
        <v>138</v>
      </c>
      <c r="E39" s="1280" t="s">
        <v>436</v>
      </c>
      <c r="F39" s="1280" t="s">
        <v>437</v>
      </c>
      <c r="G39" s="1280" t="s">
        <v>438</v>
      </c>
      <c r="H39" s="1280"/>
      <c r="I39" s="1280" t="s">
        <v>489</v>
      </c>
      <c r="J39" s="1280" t="s">
        <v>441</v>
      </c>
      <c r="K39" s="1280" t="s">
        <v>490</v>
      </c>
      <c r="L39" s="1280" t="s">
        <v>417</v>
      </c>
      <c r="Q39" s="312"/>
      <c r="R39" s="312"/>
      <c r="S39" s="2576"/>
      <c r="T39" s="2524"/>
      <c r="U39" s="239"/>
      <c r="V39" s="1399" t="s">
        <v>517</v>
      </c>
      <c r="W39" s="1138" t="s">
        <v>518</v>
      </c>
      <c r="X39" s="1138" t="s">
        <v>493</v>
      </c>
      <c r="Y39" s="1405" t="s">
        <v>445</v>
      </c>
      <c r="Z39" s="2529" t="s">
        <v>446</v>
      </c>
      <c r="AA39" s="2543"/>
      <c r="AB39" s="2582"/>
      <c r="AC39" s="1399" t="s">
        <v>517</v>
      </c>
      <c r="AD39" s="1138" t="s">
        <v>518</v>
      </c>
      <c r="AE39" s="1138" t="s">
        <v>493</v>
      </c>
      <c r="AF39" s="1405" t="s">
        <v>445</v>
      </c>
      <c r="AG39" s="2529" t="s">
        <v>446</v>
      </c>
      <c r="AH39" s="2543"/>
      <c r="AI39" s="2582"/>
      <c r="AJ39" s="2585"/>
      <c r="AK39" s="2435"/>
      <c r="AQ39" s="1071">
        <v>86</v>
      </c>
    </row>
    <row r="40" spans="1:43" s="2335" customFormat="1" ht="11.25"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109</v>
      </c>
      <c r="T40" s="1171" t="s">
        <v>110</v>
      </c>
      <c r="U40" s="1161" t="str">
        <f ca="1">OFFSET(U40,0,-1)</f>
        <v>2</v>
      </c>
      <c r="V40" s="1398">
        <f ca="1">OFFSET(V40,0,-1)+1</f>
        <v>3</v>
      </c>
      <c r="W40" s="1398">
        <f ca="1">OFFSET(W40,0,-1)+1</f>
        <v>4</v>
      </c>
      <c r="X40" s="1398">
        <f ca="1">OFFSET(X40,0,-1)+1</f>
        <v>5</v>
      </c>
      <c r="Y40" s="1398">
        <f ca="1">OFFSET(Y40,0,-1)+1</f>
        <v>6</v>
      </c>
      <c r="Z40" s="2574">
        <f ca="1">OFFSET(Z40,0,-1)+1</f>
        <v>7</v>
      </c>
      <c r="AA40" s="2574"/>
      <c r="AB40" s="1398">
        <f ca="1">OFFSET(AB40,0,-2)+1</f>
        <v>8</v>
      </c>
      <c r="AC40" s="1398">
        <f ca="1">OFFSET(AC40,0,-1)+1</f>
        <v>9</v>
      </c>
      <c r="AD40" s="1398">
        <f ca="1">OFFSET(AD40,0,-1)+1</f>
        <v>10</v>
      </c>
      <c r="AE40" s="1398">
        <f ca="1">OFFSET(AE40,0,-1)+1</f>
        <v>11</v>
      </c>
      <c r="AF40" s="1398">
        <f ca="1">OFFSET(AF40,0,-1)+1</f>
        <v>12</v>
      </c>
      <c r="AG40" s="2574">
        <f ca="1">OFFSET(AG40,0,-1)+1</f>
        <v>13</v>
      </c>
      <c r="AH40" s="2574"/>
      <c r="AI40" s="1398">
        <f ca="1">OFFSET(AI40,0,-2)+1</f>
        <v>14</v>
      </c>
      <c r="AJ40" s="1161">
        <f ca="1">OFFSET(AJ40,0,-1)</f>
        <v>14</v>
      </c>
      <c r="AK40" s="1398">
        <f ca="1">OFFSET(AK40,0,-1)+1</f>
        <v>15</v>
      </c>
      <c r="AL40" s="447"/>
      <c r="AM40" s="447"/>
      <c r="AN40" s="447"/>
      <c r="AO40" s="447"/>
      <c r="AP40" s="447"/>
      <c r="AQ40" s="432">
        <v>0</v>
      </c>
    </row>
    <row r="41" spans="1:43" ht="24" customHeight="1">
      <c r="A41" s="1279" t="s">
        <v>265</v>
      </c>
      <c r="B41" s="1279"/>
      <c r="C41" s="1279"/>
      <c r="D41" s="1279"/>
      <c r="E41" s="2563">
        <v>1</v>
      </c>
      <c r="F41" s="1279"/>
      <c r="G41" s="1279"/>
      <c r="H41" s="1279"/>
      <c r="I41" s="1279"/>
      <c r="J41" s="1279"/>
      <c r="K41" s="1279"/>
      <c r="L41" s="1280"/>
      <c r="M41" s="1281"/>
      <c r="N41" s="1281"/>
      <c r="O41" s="1281"/>
      <c r="P41" s="297"/>
      <c r="Q41" s="296"/>
      <c r="R41" s="291"/>
      <c r="S41" s="1409">
        <f>INDEX(PT_DIFFERENTIATION_NUM_NTAR,MATCH(A41,PT_DIFFERENTIATION_NTAR_ID,0))</f>
        <v>0</v>
      </c>
      <c r="T41" s="235" t="s">
        <v>124</v>
      </c>
      <c r="U41" s="237"/>
      <c r="V41" s="2557"/>
      <c r="W41" s="2558"/>
      <c r="X41" s="2558"/>
      <c r="Y41" s="2558"/>
      <c r="Z41" s="2558"/>
      <c r="AA41" s="2558"/>
      <c r="AB41" s="2559"/>
      <c r="AC41" s="2557" t="str">
        <f>INDEX(PT_DIFFERENTIATION_NTAR,MATCH(A41,PT_DIFFERENTIATION_NTAR_ID,0))</f>
        <v/>
      </c>
      <c r="AD41" s="2558"/>
      <c r="AE41" s="2558"/>
      <c r="AF41" s="2558"/>
      <c r="AG41" s="2558"/>
      <c r="AH41" s="2558"/>
      <c r="AI41" s="2558"/>
      <c r="AJ41" s="255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265</v>
      </c>
      <c r="B42" s="1279" t="s">
        <v>266</v>
      </c>
      <c r="C42" s="1279"/>
      <c r="D42" s="1279"/>
      <c r="E42" s="2564"/>
      <c r="F42" s="2563">
        <v>1</v>
      </c>
      <c r="G42" s="1279"/>
      <c r="H42" s="1279"/>
      <c r="I42" s="1279"/>
      <c r="J42" s="1279"/>
      <c r="K42" s="1279"/>
      <c r="L42" s="1280"/>
      <c r="M42" s="1281"/>
      <c r="N42" s="1281"/>
      <c r="O42" s="1281"/>
      <c r="P42" s="1403"/>
      <c r="Q42" s="288"/>
      <c r="R42" s="289"/>
      <c r="S42" s="1409" t="str">
        <f>INDEX(PT_DIFFERENTIATION_NUM_TER,MATCH(B42,PT_DIFFERENTIATION_TER_ID,0))</f>
        <v>.</v>
      </c>
      <c r="T42" s="245" t="s">
        <v>396</v>
      </c>
      <c r="U42" s="237"/>
      <c r="V42" s="2557"/>
      <c r="W42" s="2558"/>
      <c r="X42" s="2558"/>
      <c r="Y42" s="2558"/>
      <c r="Z42" s="2558"/>
      <c r="AA42" s="2558"/>
      <c r="AB42" s="2559"/>
      <c r="AC42" s="2557" t="str">
        <f>INDEX(PT_DIFFERENTIATION_TER,MATCH(B42,PT_DIFFERENTIATION_TER_ID,0))</f>
        <v/>
      </c>
      <c r="AD42" s="2558"/>
      <c r="AE42" s="2558"/>
      <c r="AF42" s="2558"/>
      <c r="AG42" s="2558"/>
      <c r="AH42" s="2558"/>
      <c r="AI42" s="2558"/>
      <c r="AJ42" s="2559"/>
      <c r="AK42" s="1174" t="s">
        <v>397</v>
      </c>
      <c r="AM42" s="436"/>
      <c r="AN42" s="436" t="str">
        <f t="shared" si="1"/>
        <v>Территория действия тарифа</v>
      </c>
      <c r="AO42" s="436"/>
      <c r="AP42" s="436"/>
      <c r="AQ42" s="1071">
        <v>23</v>
      </c>
    </row>
    <row r="43" spans="1:43" ht="24" customHeight="1">
      <c r="A43" s="1279" t="s">
        <v>265</v>
      </c>
      <c r="B43" s="1279" t="s">
        <v>266</v>
      </c>
      <c r="C43" s="1279" t="s">
        <v>267</v>
      </c>
      <c r="D43" s="1279"/>
      <c r="E43" s="2564"/>
      <c r="F43" s="2564"/>
      <c r="G43" s="2563">
        <v>1</v>
      </c>
      <c r="H43" s="1279"/>
      <c r="I43" s="1279"/>
      <c r="J43" s="1279"/>
      <c r="K43" s="1279"/>
      <c r="L43" s="1280"/>
      <c r="M43" s="1281"/>
      <c r="N43" s="1281"/>
      <c r="O43" s="1281"/>
      <c r="P43" s="290"/>
      <c r="Q43" s="288"/>
      <c r="R43" s="289"/>
      <c r="S43" s="1409" t="str">
        <f>INDEX(PT_DIFFERENTIATION_NUM_CS,MATCH(C43,PT_DIFFERENTIATION_CS_ID,0))</f>
        <v>..</v>
      </c>
      <c r="T43" s="246" t="s">
        <v>515</v>
      </c>
      <c r="U43" s="237"/>
      <c r="V43" s="2557"/>
      <c r="W43" s="2558"/>
      <c r="X43" s="2558"/>
      <c r="Y43" s="2558"/>
      <c r="Z43" s="2558"/>
      <c r="AA43" s="2558"/>
      <c r="AB43" s="2559"/>
      <c r="AC43" s="2557" t="str">
        <f>INDEX(PT_DIFFERENTIATION_CS,MATCH(C43,PT_DIFFERENTIATION_CS_ID,0))</f>
        <v/>
      </c>
      <c r="AD43" s="2558"/>
      <c r="AE43" s="2558"/>
      <c r="AF43" s="2558"/>
      <c r="AG43" s="2558"/>
      <c r="AH43" s="2558"/>
      <c r="AI43" s="2558"/>
      <c r="AJ43" s="2559"/>
      <c r="AK43" s="1174" t="s">
        <v>516</v>
      </c>
      <c r="AM43" s="436"/>
      <c r="AN43" s="436" t="str">
        <f t="shared" si="1"/>
        <v>Наименование централизованной системы водоотведения</v>
      </c>
      <c r="AO43" s="436"/>
      <c r="AP43" s="436"/>
      <c r="AQ43" s="1071">
        <v>23</v>
      </c>
    </row>
    <row r="44" spans="1:43" ht="24" customHeight="1">
      <c r="A44" s="1279" t="s">
        <v>265</v>
      </c>
      <c r="B44" s="1279" t="s">
        <v>266</v>
      </c>
      <c r="C44" s="1279" t="s">
        <v>267</v>
      </c>
      <c r="D44" s="1279" t="s">
        <v>519</v>
      </c>
      <c r="E44" s="2564"/>
      <c r="F44" s="2564"/>
      <c r="G44" s="2564"/>
      <c r="H44" s="2564"/>
      <c r="I44" s="2565" t="str">
        <f>S43&amp;".1"</f>
        <v>...1</v>
      </c>
      <c r="J44" s="1279"/>
      <c r="K44" s="1279"/>
      <c r="L44" s="1280"/>
      <c r="P44" s="2567">
        <v>1</v>
      </c>
      <c r="Q44" s="1397"/>
      <c r="R44" s="292"/>
      <c r="S44" s="1409" t="str">
        <f>$I44</f>
        <v>...1</v>
      </c>
      <c r="T44" s="222" t="s">
        <v>482</v>
      </c>
      <c r="U44" s="237"/>
      <c r="V44" s="2631"/>
      <c r="W44" s="2632"/>
      <c r="X44" s="2632"/>
      <c r="Y44" s="2632"/>
      <c r="Z44" s="2632"/>
      <c r="AA44" s="2632"/>
      <c r="AB44" s="2633"/>
      <c r="AC44" s="2634"/>
      <c r="AD44" s="2635"/>
      <c r="AE44" s="2635"/>
      <c r="AF44" s="2635"/>
      <c r="AG44" s="2635"/>
      <c r="AH44" s="2635"/>
      <c r="AI44" s="2635"/>
      <c r="AJ44" s="2636"/>
      <c r="AK44" s="1174" t="s">
        <v>483</v>
      </c>
      <c r="AM44" s="436"/>
      <c r="AN44" s="436" t="str">
        <f t="shared" si="1"/>
        <v>Наименование признака дифференциации</v>
      </c>
      <c r="AO44" s="436"/>
      <c r="AP44" s="436"/>
      <c r="AQ44" s="1071">
        <v>23</v>
      </c>
    </row>
    <row r="45" spans="1:43" ht="24" customHeight="1">
      <c r="A45" s="1279" t="s">
        <v>265</v>
      </c>
      <c r="B45" s="1279" t="s">
        <v>266</v>
      </c>
      <c r="C45" s="1279" t="s">
        <v>267</v>
      </c>
      <c r="D45" s="1279" t="s">
        <v>519</v>
      </c>
      <c r="E45" s="2564"/>
      <c r="F45" s="2564"/>
      <c r="G45" s="2564"/>
      <c r="H45" s="2564"/>
      <c r="I45" s="2566"/>
      <c r="J45" s="2565" t="str">
        <f>I44&amp;".1"</f>
        <v>...1.1</v>
      </c>
      <c r="K45" s="1279"/>
      <c r="L45" s="1280" t="s">
        <v>405</v>
      </c>
      <c r="P45" s="2567"/>
      <c r="Q45" s="2567">
        <v>1</v>
      </c>
      <c r="R45" s="293"/>
      <c r="S45" s="1409" t="str">
        <f>$J45</f>
        <v>...1.1</v>
      </c>
      <c r="T45" s="223" t="s">
        <v>406</v>
      </c>
      <c r="U45" s="237"/>
      <c r="V45" s="2551"/>
      <c r="W45" s="2552"/>
      <c r="X45" s="2552"/>
      <c r="Y45" s="2552"/>
      <c r="Z45" s="2552"/>
      <c r="AA45" s="2552"/>
      <c r="AB45" s="2553"/>
      <c r="AC45" s="2551"/>
      <c r="AD45" s="2552"/>
      <c r="AE45" s="2552"/>
      <c r="AF45" s="2552"/>
      <c r="AG45" s="2552"/>
      <c r="AH45" s="2552"/>
      <c r="AI45" s="2552"/>
      <c r="AJ45" s="2553"/>
      <c r="AK45" s="1223" t="s">
        <v>484</v>
      </c>
      <c r="AM45" s="436"/>
      <c r="AN45" s="436" t="str">
        <f t="shared" si="1"/>
        <v>Группа потребителей</v>
      </c>
      <c r="AO45" s="436"/>
      <c r="AP45" s="436"/>
      <c r="AQ45" s="1071">
        <v>23</v>
      </c>
    </row>
    <row r="46" spans="1:43" ht="24" customHeight="1">
      <c r="A46" s="1279" t="s">
        <v>265</v>
      </c>
      <c r="B46" s="1279" t="s">
        <v>266</v>
      </c>
      <c r="C46" s="1279" t="s">
        <v>267</v>
      </c>
      <c r="D46" s="1279" t="s">
        <v>519</v>
      </c>
      <c r="E46" s="2564"/>
      <c r="F46" s="2564"/>
      <c r="G46" s="2564"/>
      <c r="H46" s="2564"/>
      <c r="I46" s="2566"/>
      <c r="J46" s="2566"/>
      <c r="K46" s="2565" t="str">
        <f>J45&amp;".1"</f>
        <v>...1.1.1</v>
      </c>
      <c r="L46" s="1280"/>
      <c r="P46" s="2567"/>
      <c r="Q46" s="2567"/>
      <c r="R46" s="293">
        <v>1</v>
      </c>
      <c r="S46" s="1409" t="str">
        <f>$K46</f>
        <v>...1.1.1</v>
      </c>
      <c r="T46" s="1353"/>
      <c r="U46" s="237"/>
      <c r="V46" s="1276"/>
      <c r="W46" s="1276"/>
      <c r="X46" s="1277"/>
      <c r="Y46" s="2561"/>
      <c r="Z46" s="2560" t="s">
        <v>62</v>
      </c>
      <c r="AA46" s="2561"/>
      <c r="AB46" s="2560" t="s">
        <v>62</v>
      </c>
      <c r="AC46" s="687"/>
      <c r="AD46" s="687"/>
      <c r="AE46" s="1173"/>
      <c r="AF46" s="2568"/>
      <c r="AG46" s="2445" t="s">
        <v>62</v>
      </c>
      <c r="AH46" s="2570"/>
      <c r="AI46" s="2445" t="s">
        <v>19</v>
      </c>
      <c r="AJ46" s="1354"/>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265</v>
      </c>
      <c r="B47" s="1279" t="s">
        <v>266</v>
      </c>
      <c r="C47" s="1279" t="s">
        <v>267</v>
      </c>
      <c r="D47" s="1279" t="s">
        <v>519</v>
      </c>
      <c r="E47" s="2564"/>
      <c r="F47" s="2564"/>
      <c r="G47" s="2564"/>
      <c r="H47" s="2564"/>
      <c r="I47" s="2566"/>
      <c r="J47" s="2566"/>
      <c r="K47" s="2565"/>
      <c r="L47" s="1280"/>
      <c r="P47" s="2567"/>
      <c r="Q47" s="2567"/>
      <c r="R47" s="293"/>
      <c r="S47" s="1406"/>
      <c r="T47" s="237"/>
      <c r="U47" s="237"/>
      <c r="V47" s="1276"/>
      <c r="W47" s="1276"/>
      <c r="X47" s="265" t="str">
        <f>Y46&amp;"-"&amp;AA46</f>
        <v>-</v>
      </c>
      <c r="Y47" s="2560"/>
      <c r="Z47" s="2560"/>
      <c r="AA47" s="2560"/>
      <c r="AB47" s="2560"/>
      <c r="AC47" s="262"/>
      <c r="AD47" s="262"/>
      <c r="AE47" s="265" t="str">
        <f>AF46&amp;"-"&amp;AH46</f>
        <v>-</v>
      </c>
      <c r="AF47" s="2569"/>
      <c r="AG47" s="2445"/>
      <c r="AH47" s="2571"/>
      <c r="AI47" s="2445"/>
      <c r="AJ47" s="1355"/>
      <c r="AK47" s="2637"/>
      <c r="AM47" s="436"/>
      <c r="AN47" s="436" t="str">
        <f t="shared" si="1"/>
        <v/>
      </c>
      <c r="AO47" s="436"/>
      <c r="AP47" s="436"/>
      <c r="AQ47" s="1071">
        <v>0</v>
      </c>
    </row>
    <row r="48" spans="1:43" ht="21" customHeight="1">
      <c r="A48" s="1279" t="s">
        <v>265</v>
      </c>
      <c r="B48" s="1279" t="s">
        <v>266</v>
      </c>
      <c r="C48" s="1279" t="s">
        <v>267</v>
      </c>
      <c r="D48" s="1279" t="s">
        <v>519</v>
      </c>
      <c r="E48" s="2564"/>
      <c r="F48" s="2564"/>
      <c r="G48" s="2564"/>
      <c r="H48" s="2564"/>
      <c r="I48" s="2566"/>
      <c r="J48" s="2565"/>
      <c r="K48" s="1279"/>
      <c r="L48" s="1280"/>
      <c r="P48" s="2567"/>
      <c r="Q48" s="2567"/>
      <c r="R48" s="292"/>
      <c r="S48" s="1194"/>
      <c r="T48" s="224" t="s">
        <v>485</v>
      </c>
      <c r="U48" s="303"/>
      <c r="V48" s="303"/>
      <c r="W48" s="303"/>
      <c r="X48" s="303"/>
      <c r="Y48" s="303"/>
      <c r="Z48" s="303"/>
      <c r="AA48" s="303"/>
      <c r="AB48" s="303"/>
      <c r="AC48" s="303"/>
      <c r="AD48" s="303"/>
      <c r="AE48" s="303"/>
      <c r="AF48" s="303"/>
      <c r="AG48" s="303"/>
      <c r="AH48" s="303"/>
      <c r="AI48" s="303"/>
      <c r="AJ48" s="303"/>
      <c r="AK48" s="1174" t="s">
        <v>486</v>
      </c>
      <c r="AM48" s="436"/>
      <c r="AN48" s="436" t="str">
        <f t="shared" si="1"/>
        <v>Добавить значение признака дифференциации</v>
      </c>
      <c r="AO48" s="436"/>
      <c r="AP48" s="436"/>
      <c r="AQ48" s="1071">
        <v>20</v>
      </c>
    </row>
    <row r="49" spans="1:43" ht="21.95" customHeight="1">
      <c r="A49" s="1279" t="s">
        <v>265</v>
      </c>
      <c r="B49" s="1279" t="s">
        <v>266</v>
      </c>
      <c r="C49" s="1279" t="s">
        <v>267</v>
      </c>
      <c r="D49" s="1279" t="s">
        <v>519</v>
      </c>
      <c r="E49" s="2564"/>
      <c r="F49" s="2564"/>
      <c r="G49" s="2564"/>
      <c r="H49" s="2564"/>
      <c r="I49" s="2565"/>
      <c r="J49" s="1279"/>
      <c r="K49" s="1279"/>
      <c r="L49" s="1280"/>
      <c r="P49" s="2567"/>
      <c r="Q49" s="1397"/>
      <c r="R49" s="292"/>
      <c r="S49" s="1194"/>
      <c r="T49" s="301" t="s">
        <v>411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265</v>
      </c>
      <c r="B50" s="1279" t="s">
        <v>266</v>
      </c>
      <c r="C50" s="1279" t="s">
        <v>267</v>
      </c>
      <c r="D50" s="1279" t="s">
        <v>519</v>
      </c>
      <c r="E50" s="2564"/>
      <c r="F50" s="2564"/>
      <c r="G50" s="2564"/>
      <c r="H50" s="2563"/>
      <c r="I50" s="1279"/>
      <c r="J50" s="1279"/>
      <c r="K50" s="1279"/>
      <c r="L50" s="1280"/>
      <c r="M50" s="1281"/>
      <c r="N50" s="1281"/>
      <c r="O50" s="473"/>
      <c r="P50" s="296"/>
      <c r="Q50" s="311"/>
      <c r="R50" s="291"/>
      <c r="S50" s="119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344" customFormat="1" ht="0" hidden="1" customHeight="1">
      <c r="A51" s="1259" t="s">
        <v>265</v>
      </c>
      <c r="B51" s="1259" t="s">
        <v>266</v>
      </c>
      <c r="C51" s="1230"/>
      <c r="D51" s="1230"/>
      <c r="E51" s="2564"/>
      <c r="F51" s="2563"/>
      <c r="G51" s="1230"/>
      <c r="H51" s="1230"/>
      <c r="I51" s="1230"/>
      <c r="J51" s="1230"/>
      <c r="K51" s="1230"/>
      <c r="L51" s="1410"/>
      <c r="M51" s="1237"/>
      <c r="N51" s="1237"/>
      <c r="P51" s="1232"/>
      <c r="Q51" s="1233"/>
      <c r="R51" s="1232"/>
      <c r="S51" s="1238"/>
      <c r="T51" s="1241" t="s">
        <v>414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344" customFormat="1" ht="0" hidden="1" customHeight="1">
      <c r="A52" s="1259" t="s">
        <v>265</v>
      </c>
      <c r="B52" s="1259"/>
      <c r="C52" s="1259"/>
      <c r="D52" s="1259"/>
      <c r="E52" s="2563"/>
      <c r="F52" s="1259"/>
      <c r="G52" s="1259"/>
      <c r="H52" s="1259"/>
      <c r="I52" s="1259"/>
      <c r="J52" s="1259"/>
      <c r="K52" s="1259"/>
      <c r="L52" s="1262"/>
      <c r="M52" s="1237"/>
      <c r="N52" s="1237"/>
      <c r="O52" s="454"/>
      <c r="P52" s="316"/>
      <c r="Q52" s="1260"/>
      <c r="R52" s="316"/>
      <c r="S52" s="1238"/>
      <c r="T52" s="1241" t="s">
        <v>415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344"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447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62"/>
      <c r="U55" s="2562"/>
      <c r="V55" s="2562"/>
      <c r="W55" s="2562"/>
      <c r="X55" s="2562"/>
      <c r="Y55" s="2562"/>
      <c r="Z55" s="2562"/>
      <c r="AA55" s="2562"/>
      <c r="AB55" s="2562"/>
      <c r="AC55" s="2562"/>
      <c r="AD55" s="2562"/>
      <c r="AE55" s="2562"/>
      <c r="AF55" s="2562"/>
      <c r="AG55" s="2562"/>
      <c r="AH55" s="2562"/>
      <c r="AI55" s="2562"/>
      <c r="AJ55" s="2562"/>
      <c r="AK55" s="2562"/>
      <c r="AQ55" s="1071">
        <v>14</v>
      </c>
    </row>
    <row r="56" spans="1:43" ht="14.65" customHeight="1">
      <c r="O56" s="473"/>
      <c r="AQ56" s="1071">
        <v>14</v>
      </c>
    </row>
    <row r="57" spans="1:43" ht="14.65" customHeight="1">
      <c r="O57" s="473"/>
      <c r="S57" s="1169"/>
      <c r="T57" s="2562"/>
      <c r="U57" s="2562"/>
      <c r="V57" s="2562"/>
      <c r="W57" s="2562"/>
      <c r="X57" s="2562"/>
      <c r="Y57" s="2562"/>
      <c r="Z57" s="2562"/>
      <c r="AA57" s="2562"/>
      <c r="AB57" s="2562"/>
      <c r="AC57" s="2562"/>
      <c r="AD57" s="2562"/>
      <c r="AE57" s="2562"/>
      <c r="AF57" s="2562"/>
      <c r="AG57" s="2562"/>
      <c r="AH57" s="2562"/>
      <c r="AI57" s="2562"/>
      <c r="AJ57" s="2562"/>
      <c r="AK57" s="2562"/>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4.140625" style="2357" hidden="1" customWidth="1"/>
    <col min="10" max="10" width="9.85546875" style="2357" hidden="1" customWidth="1"/>
    <col min="11" max="11" width="14.710937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4" width="24.7109375" style="2360" hidden="1" customWidth="1"/>
    <col min="25" max="25" width="11.7109375" style="2360" hidden="1" customWidth="1"/>
    <col min="26" max="26" width="3.7109375" style="2360" hidden="1" customWidth="1"/>
    <col min="27" max="27" width="11.7109375" style="2360" hidden="1" customWidth="1"/>
    <col min="28" max="28" width="8.5703125" style="2360" hidden="1" customWidth="1"/>
    <col min="29" max="29" width="24.7109375" style="2360" customWidth="1"/>
    <col min="30" max="31" width="24" style="2360" customWidth="1"/>
    <col min="32" max="32" width="11" style="2360" customWidth="1"/>
    <col min="33" max="33" width="3.7109375" style="2360" customWidth="1"/>
    <col min="34" max="34" width="11" style="2360" customWidth="1"/>
    <col min="35" max="35" width="8.5703125" style="2360" hidden="1" customWidth="1"/>
    <col min="36" max="36" width="4" style="2360" customWidth="1"/>
    <col min="37" max="37" width="115" style="2360" customWidth="1"/>
    <col min="38" max="42" width="10" style="2344" customWidth="1"/>
    <col min="43" max="43" width="10.5703125" style="2360" hidden="1"/>
  </cols>
  <sheetData>
    <row r="1" spans="1:43" ht="22.5" hidden="1" customHeight="1">
      <c r="X1" s="264"/>
      <c r="Y1" s="264"/>
      <c r="AE1" s="264"/>
      <c r="AF1" s="264"/>
      <c r="AQ1" s="1071" t="s">
        <v>14</v>
      </c>
    </row>
    <row r="2" spans="1:43" ht="23.25" hidden="1" customHeight="1">
      <c r="A2" s="1279"/>
      <c r="B2" s="1279"/>
      <c r="C2" s="1279"/>
      <c r="D2" s="1279"/>
      <c r="E2" s="2563">
        <v>1</v>
      </c>
      <c r="F2" s="1279"/>
      <c r="G2" s="1279"/>
      <c r="H2" s="1279"/>
      <c r="I2" s="1279"/>
      <c r="J2" s="1279"/>
      <c r="K2" s="1279"/>
      <c r="L2" s="1280"/>
      <c r="M2" s="1281"/>
      <c r="N2" s="1281"/>
      <c r="O2" s="1281"/>
      <c r="P2" s="297"/>
      <c r="Q2" s="296"/>
      <c r="R2" s="291"/>
      <c r="S2" s="1409" t="e">
        <f>INDEX(PT_DIFFERENTIATION_NUM_NTAR,MATCH(A2,PT_DIFFERENTIATION_NTAR_ID,0))</f>
        <v>#N/A</v>
      </c>
      <c r="T2" s="235" t="s">
        <v>124</v>
      </c>
      <c r="U2" s="237"/>
      <c r="V2" s="2557"/>
      <c r="W2" s="2558"/>
      <c r="X2" s="2558"/>
      <c r="Y2" s="2558"/>
      <c r="Z2" s="2558"/>
      <c r="AA2" s="2558"/>
      <c r="AB2" s="2559"/>
      <c r="AC2" s="2557" t="e">
        <f>INDEX(PT_DIFFERENTIATION_NTAR,MATCH(A2,PT_DIFFERENTIATION_NTAR_ID,0))</f>
        <v>#N/A</v>
      </c>
      <c r="AD2" s="2558"/>
      <c r="AE2" s="2558"/>
      <c r="AF2" s="2558"/>
      <c r="AG2" s="2558"/>
      <c r="AH2" s="2558"/>
      <c r="AI2" s="2558"/>
      <c r="AJ2" s="2559"/>
      <c r="AK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1">
        <v>0</v>
      </c>
    </row>
    <row r="3" spans="1:43" ht="23.25" hidden="1" customHeight="1">
      <c r="A3" s="1279"/>
      <c r="B3" s="1279"/>
      <c r="C3" s="1279"/>
      <c r="D3" s="1279"/>
      <c r="E3" s="2564"/>
      <c r="F3" s="2563">
        <v>1</v>
      </c>
      <c r="G3" s="1279"/>
      <c r="H3" s="1279"/>
      <c r="I3" s="1279"/>
      <c r="J3" s="1279"/>
      <c r="K3" s="1279"/>
      <c r="L3" s="1280"/>
      <c r="M3" s="1281"/>
      <c r="N3" s="1281"/>
      <c r="O3" s="1281"/>
      <c r="P3" s="1403"/>
      <c r="Q3" s="288"/>
      <c r="R3" s="289"/>
      <c r="S3" s="1409" t="e">
        <f>INDEX(PT_DIFFERENTIATION_NUM_TER,MATCH(B3,PT_DIFFERENTIATION_TER_ID,0))</f>
        <v>#N/A</v>
      </c>
      <c r="T3" s="245" t="s">
        <v>396</v>
      </c>
      <c r="U3" s="237"/>
      <c r="V3" s="2557"/>
      <c r="W3" s="2558"/>
      <c r="X3" s="2558"/>
      <c r="Y3" s="2558"/>
      <c r="Z3" s="2558"/>
      <c r="AA3" s="2558"/>
      <c r="AB3" s="2559"/>
      <c r="AC3" s="2557" t="e">
        <f>INDEX(PT_DIFFERENTIATION_TER,MATCH(B3,PT_DIFFERENTIATION_TER_ID,0))</f>
        <v>#N/A</v>
      </c>
      <c r="AD3" s="2558"/>
      <c r="AE3" s="2558"/>
      <c r="AF3" s="2558"/>
      <c r="AG3" s="2558"/>
      <c r="AH3" s="2558"/>
      <c r="AI3" s="2558"/>
      <c r="AJ3" s="2559"/>
      <c r="AK3" s="1174" t="s">
        <v>397</v>
      </c>
      <c r="AM3" s="436"/>
      <c r="AN3" s="436" t="str">
        <f t="shared" si="0"/>
        <v>Территория действия тарифа</v>
      </c>
      <c r="AO3" s="436"/>
      <c r="AP3" s="436"/>
      <c r="AQ3" s="1071">
        <v>0</v>
      </c>
    </row>
    <row r="4" spans="1:43" ht="23.25" hidden="1" customHeight="1">
      <c r="A4" s="1279"/>
      <c r="B4" s="1279"/>
      <c r="C4" s="1279"/>
      <c r="D4" s="1279"/>
      <c r="E4" s="2564"/>
      <c r="F4" s="2564"/>
      <c r="G4" s="2563">
        <v>1</v>
      </c>
      <c r="H4" s="1279"/>
      <c r="I4" s="1279"/>
      <c r="J4" s="1279"/>
      <c r="K4" s="1279"/>
      <c r="L4" s="1280"/>
      <c r="M4" s="1281"/>
      <c r="N4" s="1281"/>
      <c r="O4" s="1281"/>
      <c r="P4" s="290"/>
      <c r="Q4" s="288"/>
      <c r="R4" s="289"/>
      <c r="S4" s="1409" t="e">
        <f>INDEX(PT_DIFFERENTIATION_NUM_CS,MATCH(C4,PT_DIFFERENTIATION_CS_ID,0))</f>
        <v>#N/A</v>
      </c>
      <c r="T4" s="246" t="s">
        <v>515</v>
      </c>
      <c r="U4" s="237"/>
      <c r="V4" s="2557"/>
      <c r="W4" s="2558"/>
      <c r="X4" s="2558"/>
      <c r="Y4" s="2558"/>
      <c r="Z4" s="2558"/>
      <c r="AA4" s="2558"/>
      <c r="AB4" s="2559"/>
      <c r="AC4" s="2557" t="e">
        <f>INDEX(PT_DIFFERENTIATION_CS,MATCH(C4,PT_DIFFERENTIATION_CS_ID,0))</f>
        <v>#N/A</v>
      </c>
      <c r="AD4" s="2558"/>
      <c r="AE4" s="2558"/>
      <c r="AF4" s="2558"/>
      <c r="AG4" s="2558"/>
      <c r="AH4" s="2558"/>
      <c r="AI4" s="2558"/>
      <c r="AJ4" s="2559"/>
      <c r="AK4" s="1174" t="s">
        <v>516</v>
      </c>
      <c r="AM4" s="436"/>
      <c r="AN4" s="436" t="str">
        <f t="shared" si="0"/>
        <v>Наименование централизованной системы водоотведения</v>
      </c>
      <c r="AO4" s="436"/>
      <c r="AP4" s="436"/>
      <c r="AQ4" s="1071">
        <v>0</v>
      </c>
    </row>
    <row r="5" spans="1:43" ht="23.25" hidden="1" customHeight="1">
      <c r="A5" s="1279"/>
      <c r="B5" s="1279"/>
      <c r="C5" s="1279"/>
      <c r="D5" s="1279"/>
      <c r="E5" s="2564"/>
      <c r="F5" s="2564"/>
      <c r="G5" s="2564"/>
      <c r="H5" s="2564"/>
      <c r="I5" s="2565" t="e">
        <f>S4&amp;".1"</f>
        <v>#N/A</v>
      </c>
      <c r="J5" s="1279"/>
      <c r="K5" s="1279"/>
      <c r="L5" s="1280"/>
      <c r="P5" s="2567">
        <v>1</v>
      </c>
      <c r="Q5" s="1397"/>
      <c r="R5" s="292"/>
      <c r="S5" s="1409" t="e">
        <f>$I5</f>
        <v>#N/A</v>
      </c>
      <c r="T5" s="222" t="s">
        <v>482</v>
      </c>
      <c r="U5" s="237"/>
      <c r="V5" s="2631"/>
      <c r="W5" s="2632"/>
      <c r="X5" s="2632"/>
      <c r="Y5" s="2632"/>
      <c r="Z5" s="2632"/>
      <c r="AA5" s="2632"/>
      <c r="AB5" s="2633"/>
      <c r="AC5" s="2634"/>
      <c r="AD5" s="2635"/>
      <c r="AE5" s="2635"/>
      <c r="AF5" s="2635"/>
      <c r="AG5" s="2635"/>
      <c r="AH5" s="2635"/>
      <c r="AI5" s="2635"/>
      <c r="AJ5" s="2636"/>
      <c r="AK5" s="1174" t="s">
        <v>483</v>
      </c>
      <c r="AM5" s="436"/>
      <c r="AN5" s="436" t="str">
        <f t="shared" si="0"/>
        <v>Наименование признака дифференциации</v>
      </c>
      <c r="AO5" s="436"/>
      <c r="AP5" s="436"/>
      <c r="AQ5" s="1071">
        <v>0</v>
      </c>
    </row>
    <row r="6" spans="1:43" ht="23.25" hidden="1" customHeight="1">
      <c r="A6" s="1279"/>
      <c r="B6" s="1279"/>
      <c r="C6" s="1279"/>
      <c r="D6" s="1279"/>
      <c r="E6" s="2564"/>
      <c r="F6" s="2564"/>
      <c r="G6" s="2564"/>
      <c r="H6" s="2564"/>
      <c r="I6" s="2566"/>
      <c r="J6" s="2565" t="e">
        <f>I5&amp;".1"</f>
        <v>#N/A</v>
      </c>
      <c r="K6" s="1279"/>
      <c r="L6" s="1280" t="s">
        <v>405</v>
      </c>
      <c r="P6" s="2567"/>
      <c r="Q6" s="2567">
        <v>1</v>
      </c>
      <c r="R6" s="293"/>
      <c r="S6" s="1409" t="e">
        <f>$J6</f>
        <v>#N/A</v>
      </c>
      <c r="T6" s="223" t="s">
        <v>406</v>
      </c>
      <c r="U6" s="237"/>
      <c r="V6" s="2551"/>
      <c r="W6" s="2552"/>
      <c r="X6" s="2552"/>
      <c r="Y6" s="2552"/>
      <c r="Z6" s="2552"/>
      <c r="AA6" s="2552"/>
      <c r="AB6" s="2553"/>
      <c r="AC6" s="2551"/>
      <c r="AD6" s="2552"/>
      <c r="AE6" s="2552"/>
      <c r="AF6" s="2552"/>
      <c r="AG6" s="2552"/>
      <c r="AH6" s="2552"/>
      <c r="AI6" s="2552"/>
      <c r="AJ6" s="2553"/>
      <c r="AK6" s="1223" t="s">
        <v>484</v>
      </c>
      <c r="AM6" s="436"/>
      <c r="AN6" s="436" t="str">
        <f t="shared" si="0"/>
        <v>Группа потребителей</v>
      </c>
      <c r="AO6" s="436"/>
      <c r="AP6" s="436"/>
      <c r="AQ6" s="1071">
        <v>0</v>
      </c>
    </row>
    <row r="7" spans="1:43" ht="23.25" hidden="1" customHeight="1">
      <c r="A7" s="1279"/>
      <c r="B7" s="1279"/>
      <c r="C7" s="1279"/>
      <c r="D7" s="1279"/>
      <c r="E7" s="2564"/>
      <c r="F7" s="2564"/>
      <c r="G7" s="2564"/>
      <c r="H7" s="2564"/>
      <c r="I7" s="2566"/>
      <c r="J7" s="2566"/>
      <c r="K7" s="2565" t="e">
        <f>J6&amp;".1"</f>
        <v>#N/A</v>
      </c>
      <c r="L7" s="1280"/>
      <c r="P7" s="2567"/>
      <c r="Q7" s="2567"/>
      <c r="R7" s="293">
        <v>1</v>
      </c>
      <c r="S7" s="1409" t="e">
        <f>$K7</f>
        <v>#N/A</v>
      </c>
      <c r="T7" s="1353"/>
      <c r="U7" s="237"/>
      <c r="V7" s="687"/>
      <c r="W7" s="687"/>
      <c r="X7" s="1173"/>
      <c r="Y7" s="2568"/>
      <c r="Z7" s="2445" t="s">
        <v>62</v>
      </c>
      <c r="AA7" s="2568"/>
      <c r="AB7" s="2445" t="s">
        <v>62</v>
      </c>
      <c r="AC7" s="687"/>
      <c r="AD7" s="687"/>
      <c r="AE7" s="1173"/>
      <c r="AF7" s="2568"/>
      <c r="AG7" s="2445" t="s">
        <v>62</v>
      </c>
      <c r="AH7" s="2570"/>
      <c r="AI7" s="2445" t="s">
        <v>62</v>
      </c>
      <c r="AJ7" s="1354"/>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1">
        <v>0</v>
      </c>
    </row>
    <row r="8" spans="1:43" ht="14.25" hidden="1" customHeight="1">
      <c r="A8" s="1279"/>
      <c r="B8" s="1279"/>
      <c r="C8" s="1279"/>
      <c r="D8" s="1279"/>
      <c r="E8" s="2564"/>
      <c r="F8" s="2564"/>
      <c r="G8" s="2564"/>
      <c r="H8" s="2564"/>
      <c r="I8" s="2566"/>
      <c r="J8" s="2566"/>
      <c r="K8" s="2565"/>
      <c r="L8" s="1280"/>
      <c r="P8" s="2567"/>
      <c r="Q8" s="2567"/>
      <c r="R8" s="293"/>
      <c r="S8" s="1406"/>
      <c r="T8" s="237"/>
      <c r="U8" s="237"/>
      <c r="V8" s="262"/>
      <c r="W8" s="262"/>
      <c r="X8" s="265" t="str">
        <f>Y7&amp;"-"&amp;AA7</f>
        <v>-</v>
      </c>
      <c r="Y8" s="2569"/>
      <c r="Z8" s="2445"/>
      <c r="AA8" s="2569"/>
      <c r="AB8" s="2445"/>
      <c r="AC8" s="262"/>
      <c r="AD8" s="262"/>
      <c r="AE8" s="265" t="str">
        <f>AF7&amp;"-"&amp;AH7</f>
        <v>-</v>
      </c>
      <c r="AF8" s="2569"/>
      <c r="AG8" s="2445"/>
      <c r="AH8" s="2571"/>
      <c r="AI8" s="2445"/>
      <c r="AJ8" s="1355"/>
      <c r="AK8" s="2637"/>
      <c r="AM8" s="436"/>
      <c r="AN8" s="436" t="str">
        <f t="shared" si="0"/>
        <v/>
      </c>
      <c r="AO8" s="436"/>
      <c r="AP8" s="436"/>
      <c r="AQ8" s="1071">
        <v>0</v>
      </c>
    </row>
    <row r="9" spans="1:43" ht="21" hidden="1" customHeight="1">
      <c r="A9" s="1279"/>
      <c r="B9" s="1279"/>
      <c r="C9" s="1279"/>
      <c r="D9" s="1279"/>
      <c r="E9" s="2564"/>
      <c r="F9" s="2564"/>
      <c r="G9" s="2564"/>
      <c r="H9" s="2564"/>
      <c r="I9" s="2566"/>
      <c r="J9" s="2565"/>
      <c r="K9" s="1279"/>
      <c r="L9" s="1280"/>
      <c r="P9" s="2567"/>
      <c r="Q9" s="2567"/>
      <c r="R9" s="292"/>
      <c r="S9" s="1194"/>
      <c r="T9" s="224" t="s">
        <v>485</v>
      </c>
      <c r="U9" s="303"/>
      <c r="V9" s="303"/>
      <c r="W9" s="303"/>
      <c r="X9" s="303"/>
      <c r="Y9" s="303"/>
      <c r="Z9" s="303"/>
      <c r="AA9" s="303"/>
      <c r="AB9" s="303"/>
      <c r="AC9" s="303"/>
      <c r="AD9" s="303"/>
      <c r="AE9" s="303"/>
      <c r="AF9" s="303"/>
      <c r="AG9" s="303"/>
      <c r="AH9" s="303"/>
      <c r="AI9" s="303"/>
      <c r="AJ9" s="303"/>
      <c r="AK9" s="1174" t="s">
        <v>486</v>
      </c>
      <c r="AM9" s="436"/>
      <c r="AN9" s="436" t="str">
        <f t="shared" si="0"/>
        <v>Добавить значение признака дифференциации</v>
      </c>
      <c r="AO9" s="436"/>
      <c r="AP9" s="436"/>
      <c r="AQ9" s="1071">
        <v>0</v>
      </c>
    </row>
    <row r="10" spans="1:43" ht="21" hidden="1" customHeight="1">
      <c r="A10" s="1279"/>
      <c r="B10" s="1279"/>
      <c r="C10" s="1279"/>
      <c r="D10" s="1279"/>
      <c r="E10" s="2564"/>
      <c r="F10" s="2564"/>
      <c r="G10" s="2564"/>
      <c r="H10" s="2564"/>
      <c r="I10" s="2565"/>
      <c r="J10" s="1279"/>
      <c r="K10" s="1279"/>
      <c r="L10" s="1280"/>
      <c r="P10" s="2567"/>
      <c r="Q10" s="1397"/>
      <c r="R10" s="292"/>
      <c r="S10" s="1194"/>
      <c r="T10" s="301" t="s">
        <v>411</v>
      </c>
      <c r="U10" s="303"/>
      <c r="V10" s="303"/>
      <c r="W10" s="303"/>
      <c r="X10" s="303"/>
      <c r="Y10" s="303"/>
      <c r="Z10" s="303"/>
      <c r="AA10" s="303"/>
      <c r="AB10" s="302"/>
      <c r="AC10" s="303"/>
      <c r="AD10" s="303"/>
      <c r="AE10" s="303"/>
      <c r="AF10" s="303"/>
      <c r="AG10" s="303"/>
      <c r="AH10" s="303"/>
      <c r="AI10" s="302"/>
      <c r="AJ10" s="303"/>
      <c r="AK10" s="1356"/>
      <c r="AM10" s="436"/>
      <c r="AN10" s="436" t="str">
        <f t="shared" si="0"/>
        <v>Добавить группу потребителей</v>
      </c>
      <c r="AO10" s="436"/>
      <c r="AP10" s="436"/>
      <c r="AQ10" s="1071">
        <v>0</v>
      </c>
    </row>
    <row r="11" spans="1:43" ht="21" hidden="1" customHeight="1">
      <c r="A11" s="1279"/>
      <c r="B11" s="1279"/>
      <c r="C11" s="1279"/>
      <c r="D11" s="1279"/>
      <c r="E11" s="2564"/>
      <c r="F11" s="2564"/>
      <c r="G11" s="2564"/>
      <c r="H11" s="2563"/>
      <c r="I11" s="1279"/>
      <c r="J11" s="1279"/>
      <c r="K11" s="1279"/>
      <c r="L11" s="1280"/>
      <c r="M11" s="1281"/>
      <c r="N11" s="1281"/>
      <c r="O11" s="473"/>
      <c r="P11" s="296"/>
      <c r="Q11" s="311"/>
      <c r="R11" s="291"/>
      <c r="S11" s="119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1">
        <v>0</v>
      </c>
    </row>
    <row r="12" spans="1:43" s="2344" customFormat="1" ht="14.25" hidden="1" customHeight="1">
      <c r="A12" s="1259"/>
      <c r="B12" s="1259"/>
      <c r="C12" s="1230"/>
      <c r="D12" s="1230"/>
      <c r="E12" s="2564"/>
      <c r="F12" s="2563"/>
      <c r="G12" s="1230"/>
      <c r="H12" s="1230"/>
      <c r="I12" s="1230"/>
      <c r="J12" s="1230"/>
      <c r="K12" s="1230"/>
      <c r="L12" s="1410"/>
      <c r="M12" s="1237"/>
      <c r="N12" s="1237"/>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M12" s="719"/>
      <c r="AN12" s="719" t="str">
        <f t="shared" si="0"/>
        <v>Добавить централизованную систему для дифференциации</v>
      </c>
      <c r="AO12" s="719"/>
      <c r="AP12" s="719"/>
      <c r="AQ12" s="454">
        <v>0</v>
      </c>
    </row>
    <row r="13" spans="1:43" s="2344" customFormat="1" ht="14.25" hidden="1" customHeight="1">
      <c r="A13" s="1259"/>
      <c r="B13" s="1259"/>
      <c r="C13" s="1259"/>
      <c r="D13" s="1259"/>
      <c r="E13" s="2563"/>
      <c r="F13" s="1259"/>
      <c r="G13" s="1259"/>
      <c r="H13" s="1259"/>
      <c r="I13" s="1259"/>
      <c r="J13" s="1259"/>
      <c r="K13" s="1259"/>
      <c r="L13" s="1262"/>
      <c r="M13" s="1237"/>
      <c r="N13" s="1237"/>
      <c r="O13" s="454"/>
      <c r="P13" s="316"/>
      <c r="Q13" s="1260"/>
      <c r="R13" s="316"/>
      <c r="S13" s="1238"/>
      <c r="T13" s="1241" t="s">
        <v>415</v>
      </c>
      <c r="U13" s="1240"/>
      <c r="V13" s="1240"/>
      <c r="W13" s="1240"/>
      <c r="X13" s="1240"/>
      <c r="Y13" s="1240"/>
      <c r="Z13" s="1240"/>
      <c r="AA13" s="1240"/>
      <c r="AB13" s="1240"/>
      <c r="AC13" s="1240"/>
      <c r="AD13" s="1240"/>
      <c r="AE13" s="1240"/>
      <c r="AF13" s="1240"/>
      <c r="AG13" s="1240"/>
      <c r="AH13" s="1240"/>
      <c r="AI13" s="1240"/>
      <c r="AJ13" s="1240"/>
      <c r="AK13" s="1240"/>
      <c r="AM13" s="436"/>
      <c r="AN13" s="436" t="str">
        <f t="shared" si="0"/>
        <v>Добавить территорию для дифференциации</v>
      </c>
      <c r="AO13" s="436"/>
      <c r="AP13" s="436"/>
      <c r="AQ13" s="447">
        <v>0</v>
      </c>
    </row>
    <row r="14" spans="1:43" ht="14.25" hidden="1" customHeight="1">
      <c r="AB14" s="264"/>
      <c r="AI14" s="264"/>
      <c r="AQ14" s="1071">
        <v>0</v>
      </c>
    </row>
    <row r="15" spans="1:43" ht="14.25" hidden="1" customHeight="1">
      <c r="AC15" s="1276"/>
      <c r="AD15" s="1276"/>
      <c r="AE15" s="1277"/>
      <c r="AF15" s="2561"/>
      <c r="AG15" s="2560" t="s">
        <v>62</v>
      </c>
      <c r="AH15" s="2561"/>
      <c r="AI15" s="2560" t="s">
        <v>62</v>
      </c>
      <c r="AQ15" s="1071">
        <v>0</v>
      </c>
    </row>
    <row r="16" spans="1:43" ht="14.25" hidden="1" customHeight="1">
      <c r="AC16" s="1276"/>
      <c r="AD16" s="1276"/>
      <c r="AE16" s="265" t="str">
        <f>AF15&amp;"-"&amp;AH15</f>
        <v>-</v>
      </c>
      <c r="AF16" s="2560"/>
      <c r="AG16" s="2560"/>
      <c r="AH16" s="2560"/>
      <c r="AI16" s="2560"/>
      <c r="AQ16" s="1071">
        <v>0</v>
      </c>
    </row>
    <row r="17" spans="1:43" ht="14.25" hidden="1" customHeight="1">
      <c r="AI17" s="264"/>
      <c r="AQ17" s="1071">
        <v>0</v>
      </c>
    </row>
    <row r="18" spans="1:43" s="2357" customFormat="1" ht="22.5" hidden="1" customHeight="1">
      <c r="L18" s="1394"/>
      <c r="M18" s="1278"/>
      <c r="N18" s="1278"/>
      <c r="O18" s="1283" t="s">
        <v>416</v>
      </c>
      <c r="P18" s="1278"/>
      <c r="Q18" s="1287"/>
      <c r="R18" s="1287"/>
      <c r="S18" s="665"/>
      <c r="Y18" s="1283"/>
      <c r="AA18" s="1283"/>
      <c r="AB18" s="1282"/>
      <c r="AF18" s="1283"/>
      <c r="AH18" s="1283"/>
      <c r="AI18" s="1282"/>
      <c r="AL18" s="447"/>
      <c r="AM18" s="447"/>
      <c r="AN18" s="447"/>
      <c r="AO18" s="447"/>
      <c r="AP18" s="447"/>
      <c r="AQ18" s="1076">
        <v>0</v>
      </c>
    </row>
    <row r="19" spans="1:43" s="2357" customFormat="1" ht="14.25" hidden="1" customHeight="1">
      <c r="L19" s="1394"/>
      <c r="M19" s="1278"/>
      <c r="N19" s="1278"/>
      <c r="O19" s="1278"/>
      <c r="P19" s="1278"/>
      <c r="Q19" s="1287"/>
      <c r="R19" s="1287"/>
      <c r="S19" s="665"/>
      <c r="AB19" s="1282"/>
      <c r="AI19" s="1282"/>
      <c r="AL19" s="447"/>
      <c r="AM19" s="447"/>
      <c r="AN19" s="447"/>
      <c r="AO19" s="447"/>
      <c r="AP19" s="447"/>
      <c r="AQ19" s="1076">
        <v>0</v>
      </c>
    </row>
    <row r="20" spans="1:43" s="2357" customFormat="1" ht="12" hidden="1" customHeight="1">
      <c r="L20" s="1394"/>
      <c r="M20" s="1278"/>
      <c r="N20" s="1278"/>
      <c r="O20" s="1280" t="s">
        <v>417</v>
      </c>
      <c r="P20" s="1278"/>
      <c r="Q20" s="1358"/>
      <c r="R20" s="1358"/>
      <c r="S20" s="665"/>
      <c r="T20" s="1076" t="s">
        <v>418</v>
      </c>
      <c r="Z20" s="123" t="s">
        <v>419</v>
      </c>
      <c r="AB20" s="123" t="s">
        <v>420</v>
      </c>
      <c r="AC20" s="1076" t="s">
        <v>418</v>
      </c>
      <c r="AG20" s="123" t="s">
        <v>421</v>
      </c>
      <c r="AI20" s="123" t="s">
        <v>420</v>
      </c>
      <c r="AQ20" s="1076">
        <v>0</v>
      </c>
    </row>
    <row r="21" spans="1:43" ht="14.25" hidden="1" customHeight="1">
      <c r="O21" s="1280"/>
      <c r="AQ21" s="1071">
        <v>0</v>
      </c>
    </row>
    <row r="22" spans="1:43" ht="14.25" hidden="1" customHeight="1">
      <c r="O22" s="1280"/>
      <c r="AQ22" s="1071">
        <v>0</v>
      </c>
    </row>
    <row r="23" spans="1:43" ht="14.65" customHeight="1">
      <c r="Q23" s="312"/>
      <c r="R23" s="312"/>
      <c r="S23" s="1191"/>
      <c r="T23" s="299"/>
      <c r="U23" s="299"/>
      <c r="V23" s="445"/>
      <c r="W23" s="445"/>
      <c r="X23" s="445"/>
      <c r="Y23" s="445"/>
      <c r="Z23" s="445"/>
      <c r="AA23" s="445"/>
      <c r="AB23" s="445"/>
      <c r="AC23" s="445"/>
      <c r="AD23" s="445"/>
      <c r="AE23" s="445"/>
      <c r="AF23" s="445"/>
      <c r="AG23" s="445"/>
      <c r="AH23" s="445"/>
      <c r="AI23" s="445"/>
      <c r="AQ23" s="1071">
        <v>14</v>
      </c>
    </row>
    <row r="24" spans="1:43" ht="14.65" customHeight="1">
      <c r="Q24" s="312"/>
      <c r="R24" s="312"/>
      <c r="S24" s="25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1159"/>
      <c r="AQ24" s="1071">
        <v>14</v>
      </c>
    </row>
    <row r="25" spans="1:43" ht="14.65" customHeight="1">
      <c r="Q25" s="312"/>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1159"/>
      <c r="AQ25" s="1071">
        <v>14</v>
      </c>
    </row>
    <row r="26" spans="1:43" ht="14.25" hidden="1" customHeight="1">
      <c r="Q26" s="312"/>
      <c r="R26" s="312"/>
      <c r="S26" s="1191"/>
      <c r="T26" s="299"/>
      <c r="U26" s="299"/>
      <c r="V26" s="259"/>
      <c r="W26" s="259"/>
      <c r="X26" s="259"/>
      <c r="Y26" s="259"/>
      <c r="Z26" s="259"/>
      <c r="AA26" s="259"/>
      <c r="AB26" s="259"/>
      <c r="AC26" s="259"/>
      <c r="AD26" s="259"/>
      <c r="AE26" s="259"/>
      <c r="AF26" s="259"/>
      <c r="AG26" s="259"/>
      <c r="AH26" s="259"/>
      <c r="AI26" s="259"/>
      <c r="AJ26" s="445"/>
      <c r="AQ26" s="1071">
        <v>0</v>
      </c>
    </row>
    <row r="27" spans="1:43" s="2380" customFormat="1" ht="25.5" hidden="1" customHeight="1">
      <c r="A27" s="1284"/>
      <c r="B27" s="1284"/>
      <c r="C27" s="1284"/>
      <c r="D27" s="1284"/>
      <c r="E27" s="1284"/>
      <c r="F27" s="1284"/>
      <c r="G27" s="1284"/>
      <c r="H27" s="1284"/>
      <c r="I27" s="1284"/>
      <c r="J27" s="1284"/>
      <c r="K27" s="1284"/>
      <c r="L27" s="1285"/>
      <c r="M27" s="1284"/>
      <c r="N27" s="1284"/>
      <c r="O27" s="1284"/>
      <c r="S27" s="2554" t="s">
        <v>41</v>
      </c>
      <c r="T27" s="2554"/>
      <c r="U27" s="1288"/>
      <c r="V27" s="2556" t="str">
        <f>IF(TITLE_NAME_OR_PR_CHANGE="",IF(TITLE_NAME_OR_PR="","",TITLE_NAME_OR_PR),TITLE_NAME_OR_PR_CHANGE)</f>
        <v/>
      </c>
      <c r="W27" s="2556"/>
      <c r="X27" s="2556"/>
      <c r="Y27" s="2556"/>
      <c r="Z27" s="2556"/>
      <c r="AA27" s="2556"/>
      <c r="AB27" s="263"/>
      <c r="AC27" s="2556" t="str">
        <f>IF(TITLE_NAME_OR_PR_CHANGE="",IF(TITLE_NAME_OR_PR="","",TITLE_NAME_OR_PR),TITLE_NAME_OR_PR_CHANGE)</f>
        <v/>
      </c>
      <c r="AD27" s="2556"/>
      <c r="AE27" s="2556"/>
      <c r="AF27" s="2556"/>
      <c r="AG27" s="2556"/>
      <c r="AH27" s="2556"/>
      <c r="AI27" s="263"/>
      <c r="AJ27" s="263"/>
      <c r="AK27" s="217"/>
      <c r="AL27" s="304"/>
      <c r="AM27" s="304"/>
      <c r="AN27" s="304"/>
      <c r="AO27" s="304"/>
      <c r="AP27" s="304"/>
      <c r="AQ27" s="354">
        <v>0</v>
      </c>
    </row>
    <row r="28" spans="1:43" s="2380" customFormat="1" ht="18.75" hidden="1" customHeight="1">
      <c r="A28" s="1284"/>
      <c r="B28" s="1284"/>
      <c r="C28" s="1284"/>
      <c r="D28" s="1284"/>
      <c r="E28" s="1284"/>
      <c r="F28" s="1284"/>
      <c r="G28" s="1284"/>
      <c r="H28" s="1284"/>
      <c r="I28" s="1284"/>
      <c r="J28" s="1284"/>
      <c r="K28" s="1284"/>
      <c r="L28" s="1285"/>
      <c r="M28" s="1284"/>
      <c r="N28" s="1284"/>
      <c r="O28" s="1284"/>
      <c r="S28" s="2554" t="s">
        <v>422</v>
      </c>
      <c r="T28" s="2554"/>
      <c r="U28" s="1288"/>
      <c r="V28" s="2555" t="str">
        <f>IF(TITLE_DATE_PR_CHANGE="",IF(TITLE_DATE_PR="","",TITLE_DATE_PR),TITLE_DATE_PR_CHANGE)</f>
        <v/>
      </c>
      <c r="W28" s="2555"/>
      <c r="X28" s="2555"/>
      <c r="Y28" s="2555"/>
      <c r="Z28" s="2555"/>
      <c r="AA28" s="2555"/>
      <c r="AB28" s="263"/>
      <c r="AC28" s="2555" t="str">
        <f>IF(TITLE_DATE_PR_CHANGE="",IF(TITLE_DATE_PR="","",TITLE_DATE_PR),TITLE_DATE_PR_CHANGE)</f>
        <v/>
      </c>
      <c r="AD28" s="2555"/>
      <c r="AE28" s="2555"/>
      <c r="AF28" s="2555"/>
      <c r="AG28" s="2555"/>
      <c r="AH28" s="2555"/>
      <c r="AI28" s="263"/>
      <c r="AJ28" s="263"/>
      <c r="AK28" s="217"/>
      <c r="AL28" s="304"/>
      <c r="AM28" s="304"/>
      <c r="AN28" s="304"/>
      <c r="AO28" s="304"/>
      <c r="AP28" s="304"/>
      <c r="AQ28" s="354">
        <v>0</v>
      </c>
    </row>
    <row r="29" spans="1:43" s="2380" customFormat="1" ht="18.75" hidden="1" customHeight="1">
      <c r="A29" s="1284"/>
      <c r="B29" s="1284"/>
      <c r="C29" s="1284"/>
      <c r="D29" s="1284"/>
      <c r="E29" s="1284"/>
      <c r="F29" s="1284"/>
      <c r="G29" s="1284"/>
      <c r="H29" s="1284"/>
      <c r="I29" s="1284"/>
      <c r="J29" s="1284"/>
      <c r="K29" s="1284"/>
      <c r="L29" s="1285"/>
      <c r="M29" s="1284"/>
      <c r="N29" s="1284"/>
      <c r="O29" s="1284"/>
      <c r="S29" s="2554" t="s">
        <v>423</v>
      </c>
      <c r="T29" s="2554"/>
      <c r="U29" s="1288"/>
      <c r="V29" s="2556" t="str">
        <f>IF(TITLE_NUMBER_PR_CHANGE="",IF(TITLE_NUMBER_PR="","",TITLE_NUMBER_PR),TITLE_NUMBER_PR_CHANGE)</f>
        <v/>
      </c>
      <c r="W29" s="2556"/>
      <c r="X29" s="2556"/>
      <c r="Y29" s="2556"/>
      <c r="Z29" s="2556"/>
      <c r="AA29" s="2556"/>
      <c r="AB29" s="263"/>
      <c r="AC29" s="2556" t="str">
        <f>IF(TITLE_NUMBER_PR_CHANGE="",IF(TITLE_NUMBER_PR="","",TITLE_NUMBER_PR),TITLE_NUMBER_PR_CHANGE)</f>
        <v/>
      </c>
      <c r="AD29" s="2556"/>
      <c r="AE29" s="2556"/>
      <c r="AF29" s="2556"/>
      <c r="AG29" s="2556"/>
      <c r="AH29" s="2556"/>
      <c r="AI29" s="263"/>
      <c r="AJ29" s="263"/>
      <c r="AK29" s="217"/>
      <c r="AL29" s="304"/>
      <c r="AM29" s="304"/>
      <c r="AN29" s="304"/>
      <c r="AO29" s="304"/>
      <c r="AP29" s="304"/>
      <c r="AQ29" s="354">
        <v>0</v>
      </c>
    </row>
    <row r="30" spans="1:43" s="2380" customFormat="1" ht="18.75" hidden="1" customHeight="1">
      <c r="A30" s="1284"/>
      <c r="B30" s="1284"/>
      <c r="C30" s="1284"/>
      <c r="D30" s="1284"/>
      <c r="E30" s="1284"/>
      <c r="F30" s="1284"/>
      <c r="G30" s="1284"/>
      <c r="H30" s="1284"/>
      <c r="I30" s="1284"/>
      <c r="J30" s="1284"/>
      <c r="K30" s="1284"/>
      <c r="L30" s="1285"/>
      <c r="M30" s="1284"/>
      <c r="N30" s="1284"/>
      <c r="O30" s="1284"/>
      <c r="S30" s="2554" t="s">
        <v>42</v>
      </c>
      <c r="T30" s="2554"/>
      <c r="U30" s="1288"/>
      <c r="V30" s="2556" t="str">
        <f>IF(TITLE_IST_PUB_CHANGE="",IF(TITLE_IST_PUB="","",TITLE_IST_PUB),TITLE_IST_PUB_CHANGE)</f>
        <v/>
      </c>
      <c r="W30" s="2556"/>
      <c r="X30" s="2556"/>
      <c r="Y30" s="2556"/>
      <c r="Z30" s="2556"/>
      <c r="AA30" s="2556"/>
      <c r="AB30" s="263"/>
      <c r="AC30" s="2556" t="str">
        <f>IF(TITLE_IST_PUB_CHANGE="",IF(TITLE_IST_PUB="","",TITLE_IST_PUB),TITLE_IST_PUB_CHANGE)</f>
        <v/>
      </c>
      <c r="AD30" s="2556"/>
      <c r="AE30" s="2556"/>
      <c r="AF30" s="2556"/>
      <c r="AG30" s="2556"/>
      <c r="AH30" s="2556"/>
      <c r="AI30" s="263"/>
      <c r="AJ30" s="263"/>
      <c r="AK30" s="217"/>
      <c r="AL30" s="304"/>
      <c r="AM30" s="304"/>
      <c r="AN30" s="304"/>
      <c r="AO30" s="304"/>
      <c r="AP30" s="304"/>
      <c r="AQ30" s="354">
        <v>0</v>
      </c>
    </row>
    <row r="31" spans="1:43" ht="14.25" hidden="1" customHeight="1">
      <c r="Q31" s="312"/>
      <c r="R31" s="312"/>
      <c r="S31" s="1191"/>
      <c r="T31" s="299"/>
      <c r="U31" s="299"/>
      <c r="V31" s="259"/>
      <c r="W31" s="259"/>
      <c r="X31" s="259"/>
      <c r="Y31" s="259"/>
      <c r="Z31" s="259"/>
      <c r="AA31" s="259"/>
      <c r="AB31" s="259"/>
      <c r="AC31" s="259"/>
      <c r="AD31" s="259"/>
      <c r="AE31" s="259"/>
      <c r="AF31" s="259"/>
      <c r="AG31" s="259"/>
      <c r="AH31" s="259"/>
      <c r="AI31" s="259"/>
      <c r="AJ31" s="445"/>
      <c r="AQ31" s="1071">
        <v>0</v>
      </c>
    </row>
    <row r="32" spans="1:43" s="2380" customFormat="1" ht="18.75" hidden="1" customHeight="1">
      <c r="A32" s="1284"/>
      <c r="B32" s="1284"/>
      <c r="C32" s="1284"/>
      <c r="D32" s="1284"/>
      <c r="E32" s="1284"/>
      <c r="F32" s="1284"/>
      <c r="G32" s="1284"/>
      <c r="H32" s="1284"/>
      <c r="I32" s="1284"/>
      <c r="J32" s="1284"/>
      <c r="K32" s="1284"/>
      <c r="L32" s="1285"/>
      <c r="M32" s="1284"/>
      <c r="N32" s="1284"/>
      <c r="O32" s="1284"/>
      <c r="S32" s="2554" t="s">
        <v>424</v>
      </c>
      <c r="T32" s="2554"/>
      <c r="U32" s="1288"/>
      <c r="V32" s="2555" t="str">
        <f>IF(TITLE_DATE_PR_CHANGE="",IF(TITLE_DATE_PR="","",TITLE_DATE_PR),TITLE_DATE_PR_CHANGE)</f>
        <v/>
      </c>
      <c r="W32" s="2555"/>
      <c r="X32" s="2555"/>
      <c r="Y32" s="2555"/>
      <c r="Z32" s="2555"/>
      <c r="AA32" s="2555"/>
      <c r="AB32" s="263"/>
      <c r="AC32" s="2555" t="str">
        <f>IF(TITLE_DATE_PR_CHANGE="",IF(TITLE_DATE_PR="","",TITLE_DATE_PR),TITLE_DATE_PR_CHANGE)</f>
        <v/>
      </c>
      <c r="AD32" s="2555"/>
      <c r="AE32" s="2555"/>
      <c r="AF32" s="2555"/>
      <c r="AG32" s="2555"/>
      <c r="AH32" s="2555"/>
      <c r="AI32" s="263"/>
      <c r="AJ32" s="263"/>
      <c r="AK32" s="217"/>
      <c r="AL32" s="304"/>
      <c r="AM32" s="304"/>
      <c r="AN32" s="304"/>
      <c r="AO32" s="304"/>
      <c r="AP32" s="304"/>
      <c r="AQ32" s="354">
        <v>0</v>
      </c>
    </row>
    <row r="33" spans="1:43" s="2380" customFormat="1" ht="18.75" hidden="1" customHeight="1">
      <c r="A33" s="1284"/>
      <c r="B33" s="1284"/>
      <c r="C33" s="1284"/>
      <c r="D33" s="1284"/>
      <c r="E33" s="1284"/>
      <c r="F33" s="1284"/>
      <c r="G33" s="1284"/>
      <c r="H33" s="1284"/>
      <c r="I33" s="1284"/>
      <c r="J33" s="1284"/>
      <c r="K33" s="1284"/>
      <c r="L33" s="1285"/>
      <c r="M33" s="1284"/>
      <c r="N33" s="1284"/>
      <c r="O33" s="1284"/>
      <c r="S33" s="2554" t="s">
        <v>425</v>
      </c>
      <c r="T33" s="2554"/>
      <c r="U33" s="1288"/>
      <c r="V33" s="2556" t="str">
        <f>IF(TITLE_NUMBER_PR_CHANGE="",IF(TITLE_NUMBER_PR="","",TITLE_NUMBER_PR),TITLE_NUMBER_PR_CHANGE)</f>
        <v/>
      </c>
      <c r="W33" s="2556"/>
      <c r="X33" s="2556"/>
      <c r="Y33" s="2556"/>
      <c r="Z33" s="2556"/>
      <c r="AA33" s="2556"/>
      <c r="AB33" s="263"/>
      <c r="AC33" s="2556" t="str">
        <f>IF(TITLE_NUMBER_PR_CHANGE="",IF(TITLE_NUMBER_PR="","",TITLE_NUMBER_PR),TITLE_NUMBER_PR_CHANGE)</f>
        <v/>
      </c>
      <c r="AD33" s="2556"/>
      <c r="AE33" s="2556"/>
      <c r="AF33" s="2556"/>
      <c r="AG33" s="2556"/>
      <c r="AH33" s="2556"/>
      <c r="AI33" s="263"/>
      <c r="AJ33" s="263"/>
      <c r="AK33" s="217"/>
      <c r="AL33" s="304"/>
      <c r="AM33" s="304"/>
      <c r="AN33" s="304"/>
      <c r="AO33" s="304"/>
      <c r="AP33" s="304"/>
      <c r="AQ33" s="354">
        <v>0</v>
      </c>
    </row>
    <row r="34" spans="1:43" s="2380"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1"/>
      <c r="T35" s="299"/>
      <c r="U35" s="1160"/>
      <c r="V35" s="2575"/>
      <c r="W35" s="2575"/>
      <c r="X35" s="2575"/>
      <c r="Y35" s="2575"/>
      <c r="Z35" s="2575"/>
      <c r="AA35" s="2575"/>
      <c r="AB35" s="2575"/>
      <c r="AC35" s="2575"/>
      <c r="AD35" s="2575"/>
      <c r="AE35" s="2575"/>
      <c r="AF35" s="2575"/>
      <c r="AG35" s="2575"/>
      <c r="AH35" s="2575"/>
      <c r="AI35" s="2575"/>
      <c r="AQ35" s="1071">
        <v>14</v>
      </c>
    </row>
    <row r="36" spans="1:43" ht="14.65" customHeight="1">
      <c r="Q36" s="312"/>
      <c r="R36" s="312"/>
      <c r="S36" s="2435" t="s">
        <v>299</v>
      </c>
      <c r="T36" s="2435"/>
      <c r="U36" s="2435"/>
      <c r="V36" s="2435"/>
      <c r="W36" s="2435"/>
      <c r="X36" s="2435"/>
      <c r="Y36" s="2435"/>
      <c r="Z36" s="2435"/>
      <c r="AA36" s="2435"/>
      <c r="AB36" s="2435"/>
      <c r="AC36" s="2435"/>
      <c r="AD36" s="2435"/>
      <c r="AE36" s="2435"/>
      <c r="AF36" s="2435"/>
      <c r="AG36" s="2435"/>
      <c r="AH36" s="2435"/>
      <c r="AI36" s="2435"/>
      <c r="AJ36" s="2435"/>
      <c r="AK36" s="2435" t="s">
        <v>300</v>
      </c>
      <c r="AQ36" s="1071">
        <v>14</v>
      </c>
    </row>
    <row r="37" spans="1:43" ht="14.65" customHeight="1">
      <c r="Q37" s="312"/>
      <c r="R37" s="312"/>
      <c r="S37" s="2576" t="s">
        <v>88</v>
      </c>
      <c r="T37" s="2524" t="s">
        <v>427</v>
      </c>
      <c r="U37" s="238"/>
      <c r="V37" s="2577" t="s">
        <v>428</v>
      </c>
      <c r="W37" s="2578"/>
      <c r="X37" s="2578"/>
      <c r="Y37" s="2578"/>
      <c r="Z37" s="2578"/>
      <c r="AA37" s="2579"/>
      <c r="AB37" s="2580" t="s">
        <v>429</v>
      </c>
      <c r="AC37" s="2577" t="s">
        <v>428</v>
      </c>
      <c r="AD37" s="2578"/>
      <c r="AE37" s="2578"/>
      <c r="AF37" s="2578"/>
      <c r="AG37" s="2578"/>
      <c r="AH37" s="2579"/>
      <c r="AI37" s="2580" t="s">
        <v>430</v>
      </c>
      <c r="AJ37" s="2583" t="s">
        <v>431</v>
      </c>
      <c r="AK37" s="2435"/>
      <c r="AQ37" s="1071">
        <v>14</v>
      </c>
    </row>
    <row r="38" spans="1:43" ht="35.65" customHeight="1">
      <c r="Q38" s="312"/>
      <c r="R38" s="312"/>
      <c r="S38" s="2576"/>
      <c r="T38" s="2524"/>
      <c r="U38" s="953"/>
      <c r="V38" s="1399" t="s">
        <v>488</v>
      </c>
      <c r="W38" s="2417" t="s">
        <v>434</v>
      </c>
      <c r="X38" s="2416"/>
      <c r="Y38" s="2417" t="s">
        <v>435</v>
      </c>
      <c r="Z38" s="2422"/>
      <c r="AA38" s="2416"/>
      <c r="AB38" s="2581"/>
      <c r="AC38" s="1399" t="s">
        <v>488</v>
      </c>
      <c r="AD38" s="2417" t="s">
        <v>434</v>
      </c>
      <c r="AE38" s="2416"/>
      <c r="AF38" s="2417" t="s">
        <v>435</v>
      </c>
      <c r="AG38" s="2422"/>
      <c r="AH38" s="2416"/>
      <c r="AI38" s="2581"/>
      <c r="AJ38" s="2584"/>
      <c r="AK38" s="2435"/>
      <c r="AQ38" s="1071">
        <v>34</v>
      </c>
    </row>
    <row r="39" spans="1:43" ht="90.4" customHeight="1">
      <c r="A39" s="1286"/>
      <c r="B39" s="1286" t="s">
        <v>136</v>
      </c>
      <c r="C39" s="1286" t="s">
        <v>137</v>
      </c>
      <c r="D39" s="1286" t="s">
        <v>138</v>
      </c>
      <c r="E39" s="1280" t="s">
        <v>436</v>
      </c>
      <c r="F39" s="1280" t="s">
        <v>437</v>
      </c>
      <c r="G39" s="1280" t="s">
        <v>438</v>
      </c>
      <c r="H39" s="1280"/>
      <c r="I39" s="1280" t="s">
        <v>489</v>
      </c>
      <c r="J39" s="1280" t="s">
        <v>441</v>
      </c>
      <c r="K39" s="1280" t="s">
        <v>490</v>
      </c>
      <c r="L39" s="1280" t="s">
        <v>417</v>
      </c>
      <c r="Q39" s="312"/>
      <c r="R39" s="312"/>
      <c r="S39" s="2576"/>
      <c r="T39" s="2524"/>
      <c r="U39" s="239"/>
      <c r="V39" s="1399" t="s">
        <v>517</v>
      </c>
      <c r="W39" s="1138" t="s">
        <v>518</v>
      </c>
      <c r="X39" s="1138" t="s">
        <v>493</v>
      </c>
      <c r="Y39" s="1405" t="s">
        <v>445</v>
      </c>
      <c r="Z39" s="2529" t="s">
        <v>446</v>
      </c>
      <c r="AA39" s="2543"/>
      <c r="AB39" s="2582"/>
      <c r="AC39" s="1399" t="s">
        <v>517</v>
      </c>
      <c r="AD39" s="1138" t="s">
        <v>518</v>
      </c>
      <c r="AE39" s="1138" t="s">
        <v>493</v>
      </c>
      <c r="AF39" s="1405" t="s">
        <v>445</v>
      </c>
      <c r="AG39" s="2529" t="s">
        <v>446</v>
      </c>
      <c r="AH39" s="2543"/>
      <c r="AI39" s="2582"/>
      <c r="AJ39" s="2585"/>
      <c r="AK39" s="2435"/>
      <c r="AQ39" s="1071">
        <v>86</v>
      </c>
    </row>
    <row r="40" spans="1:43" s="2335" customFormat="1" ht="0" hidden="1" customHeight="1">
      <c r="A40" s="1286"/>
      <c r="B40" s="1286"/>
      <c r="C40" s="1286"/>
      <c r="D40" s="1286"/>
      <c r="E40" s="1286"/>
      <c r="F40" s="1286"/>
      <c r="G40" s="1286"/>
      <c r="H40" s="1286"/>
      <c r="I40" s="1286"/>
      <c r="J40" s="1286"/>
      <c r="K40" s="1286"/>
      <c r="L40" s="1280"/>
      <c r="M40" s="1278"/>
      <c r="N40" s="1278"/>
      <c r="O40" s="1278"/>
      <c r="P40" s="1162"/>
      <c r="Q40" s="1163"/>
      <c r="R40" s="1170">
        <v>1</v>
      </c>
      <c r="S40" s="1193" t="s">
        <v>109</v>
      </c>
      <c r="T40" s="1171" t="s">
        <v>110</v>
      </c>
      <c r="U40" s="1161" t="str">
        <f ca="1">OFFSET(U40,0,-1)</f>
        <v>2</v>
      </c>
      <c r="V40" s="1398">
        <f ca="1">OFFSET(V40,0,-1)+1</f>
        <v>3</v>
      </c>
      <c r="W40" s="1398">
        <f ca="1">OFFSET(W40,0,-1)+1</f>
        <v>4</v>
      </c>
      <c r="X40" s="1398">
        <f ca="1">OFFSET(X40,0,-1)+1</f>
        <v>5</v>
      </c>
      <c r="Y40" s="1398">
        <f ca="1">OFFSET(Y40,0,-1)+1</f>
        <v>6</v>
      </c>
      <c r="Z40" s="2574">
        <f ca="1">OFFSET(Z40,0,-1)+1</f>
        <v>7</v>
      </c>
      <c r="AA40" s="2574"/>
      <c r="AB40" s="1398">
        <f ca="1">OFFSET(AB40,0,-2)+1</f>
        <v>8</v>
      </c>
      <c r="AC40" s="1398">
        <f ca="1">OFFSET(AC40,0,-1)+1</f>
        <v>9</v>
      </c>
      <c r="AD40" s="1398">
        <f ca="1">OFFSET(AD40,0,-1)+1</f>
        <v>10</v>
      </c>
      <c r="AE40" s="1398">
        <f ca="1">OFFSET(AE40,0,-1)+1</f>
        <v>11</v>
      </c>
      <c r="AF40" s="1398">
        <f ca="1">OFFSET(AF40,0,-1)+1</f>
        <v>12</v>
      </c>
      <c r="AG40" s="2574">
        <f ca="1">OFFSET(AG40,0,-1)+1</f>
        <v>13</v>
      </c>
      <c r="AH40" s="2574"/>
      <c r="AI40" s="1398">
        <f ca="1">OFFSET(AI40,0,-2)+1</f>
        <v>14</v>
      </c>
      <c r="AJ40" s="1161">
        <f ca="1">OFFSET(AJ40,0,-1)</f>
        <v>14</v>
      </c>
      <c r="AK40" s="1398">
        <f ca="1">OFFSET(AK40,0,-1)+1</f>
        <v>15</v>
      </c>
      <c r="AL40" s="447"/>
      <c r="AM40" s="447"/>
      <c r="AN40" s="447"/>
      <c r="AO40" s="447"/>
      <c r="AP40" s="447"/>
      <c r="AQ40" s="432">
        <v>0</v>
      </c>
    </row>
    <row r="41" spans="1:43" ht="24" customHeight="1">
      <c r="A41" s="1279" t="s">
        <v>270</v>
      </c>
      <c r="B41" s="1279"/>
      <c r="C41" s="1279"/>
      <c r="D41" s="1279"/>
      <c r="E41" s="2563">
        <v>1</v>
      </c>
      <c r="F41" s="1279"/>
      <c r="G41" s="1279"/>
      <c r="H41" s="1279"/>
      <c r="I41" s="1279"/>
      <c r="J41" s="1279"/>
      <c r="K41" s="1279"/>
      <c r="L41" s="1280"/>
      <c r="M41" s="1281"/>
      <c r="N41" s="1281"/>
      <c r="O41" s="1281"/>
      <c r="P41" s="297"/>
      <c r="Q41" s="296"/>
      <c r="R41" s="291"/>
      <c r="S41" s="1409">
        <f>INDEX(PT_DIFFERENTIATION_NUM_NTAR,MATCH(A41,PT_DIFFERENTIATION_NTAR_ID,0))</f>
        <v>0</v>
      </c>
      <c r="T41" s="235" t="s">
        <v>124</v>
      </c>
      <c r="U41" s="237"/>
      <c r="V41" s="2557"/>
      <c r="W41" s="2558"/>
      <c r="X41" s="2558"/>
      <c r="Y41" s="2558"/>
      <c r="Z41" s="2558"/>
      <c r="AA41" s="2558"/>
      <c r="AB41" s="2559"/>
      <c r="AC41" s="2557" t="str">
        <f>INDEX(PT_DIFFERENTIATION_NTAR,MATCH(A41,PT_DIFFERENTIATION_NTAR_ID,0))</f>
        <v/>
      </c>
      <c r="AD41" s="2558"/>
      <c r="AE41" s="2558"/>
      <c r="AF41" s="2558"/>
      <c r="AG41" s="2558"/>
      <c r="AH41" s="2558"/>
      <c r="AI41" s="2558"/>
      <c r="AJ41" s="2559"/>
      <c r="AK41"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1">
        <v>23</v>
      </c>
    </row>
    <row r="42" spans="1:43" ht="24" customHeight="1">
      <c r="A42" s="1279" t="s">
        <v>270</v>
      </c>
      <c r="B42" s="1279" t="s">
        <v>271</v>
      </c>
      <c r="C42" s="1279"/>
      <c r="D42" s="1279"/>
      <c r="E42" s="2564"/>
      <c r="F42" s="2563">
        <v>1</v>
      </c>
      <c r="G42" s="1279"/>
      <c r="H42" s="1279"/>
      <c r="I42" s="1279"/>
      <c r="J42" s="1279"/>
      <c r="K42" s="1279"/>
      <c r="L42" s="1280"/>
      <c r="M42" s="1281"/>
      <c r="N42" s="1281"/>
      <c r="O42" s="1281"/>
      <c r="P42" s="1403"/>
      <c r="Q42" s="288"/>
      <c r="R42" s="289"/>
      <c r="S42" s="1409" t="str">
        <f>INDEX(PT_DIFFERENTIATION_NUM_TER,MATCH(B42,PT_DIFFERENTIATION_TER_ID,0))</f>
        <v>.</v>
      </c>
      <c r="T42" s="245" t="s">
        <v>396</v>
      </c>
      <c r="U42" s="237"/>
      <c r="V42" s="2557"/>
      <c r="W42" s="2558"/>
      <c r="X42" s="2558"/>
      <c r="Y42" s="2558"/>
      <c r="Z42" s="2558"/>
      <c r="AA42" s="2558"/>
      <c r="AB42" s="2559"/>
      <c r="AC42" s="2557" t="str">
        <f>INDEX(PT_DIFFERENTIATION_TER,MATCH(B42,PT_DIFFERENTIATION_TER_ID,0))</f>
        <v/>
      </c>
      <c r="AD42" s="2558"/>
      <c r="AE42" s="2558"/>
      <c r="AF42" s="2558"/>
      <c r="AG42" s="2558"/>
      <c r="AH42" s="2558"/>
      <c r="AI42" s="2558"/>
      <c r="AJ42" s="2559"/>
      <c r="AK42" s="1174" t="s">
        <v>397</v>
      </c>
      <c r="AM42" s="436"/>
      <c r="AN42" s="436" t="str">
        <f t="shared" si="1"/>
        <v>Территория действия тарифа</v>
      </c>
      <c r="AO42" s="436"/>
      <c r="AP42" s="436"/>
      <c r="AQ42" s="1071">
        <v>23</v>
      </c>
    </row>
    <row r="43" spans="1:43" ht="24" customHeight="1">
      <c r="A43" s="1279" t="s">
        <v>270</v>
      </c>
      <c r="B43" s="1279" t="s">
        <v>271</v>
      </c>
      <c r="C43" s="1279" t="s">
        <v>272</v>
      </c>
      <c r="D43" s="1279"/>
      <c r="E43" s="2564"/>
      <c r="F43" s="2564"/>
      <c r="G43" s="2563">
        <v>1</v>
      </c>
      <c r="H43" s="1279"/>
      <c r="I43" s="1279"/>
      <c r="J43" s="1279"/>
      <c r="K43" s="1279"/>
      <c r="L43" s="1280"/>
      <c r="M43" s="1281"/>
      <c r="N43" s="1281"/>
      <c r="O43" s="1281"/>
      <c r="P43" s="290"/>
      <c r="Q43" s="288"/>
      <c r="R43" s="289"/>
      <c r="S43" s="1409" t="str">
        <f>INDEX(PT_DIFFERENTIATION_NUM_CS,MATCH(C43,PT_DIFFERENTIATION_CS_ID,0))</f>
        <v>..</v>
      </c>
      <c r="T43" s="246" t="s">
        <v>515</v>
      </c>
      <c r="U43" s="237"/>
      <c r="V43" s="2557"/>
      <c r="W43" s="2558"/>
      <c r="X43" s="2558"/>
      <c r="Y43" s="2558"/>
      <c r="Z43" s="2558"/>
      <c r="AA43" s="2558"/>
      <c r="AB43" s="2559"/>
      <c r="AC43" s="2557" t="str">
        <f>INDEX(PT_DIFFERENTIATION_CS,MATCH(C43,PT_DIFFERENTIATION_CS_ID,0))</f>
        <v/>
      </c>
      <c r="AD43" s="2558"/>
      <c r="AE43" s="2558"/>
      <c r="AF43" s="2558"/>
      <c r="AG43" s="2558"/>
      <c r="AH43" s="2558"/>
      <c r="AI43" s="2558"/>
      <c r="AJ43" s="2559"/>
      <c r="AK43" s="1174" t="s">
        <v>516</v>
      </c>
      <c r="AM43" s="436"/>
      <c r="AN43" s="436" t="str">
        <f t="shared" si="1"/>
        <v>Наименование централизованной системы водоотведения</v>
      </c>
      <c r="AO43" s="436"/>
      <c r="AP43" s="436"/>
      <c r="AQ43" s="1071">
        <v>23</v>
      </c>
    </row>
    <row r="44" spans="1:43" ht="24" customHeight="1">
      <c r="A44" s="1279" t="s">
        <v>270</v>
      </c>
      <c r="B44" s="1279" t="s">
        <v>271</v>
      </c>
      <c r="C44" s="1279" t="s">
        <v>272</v>
      </c>
      <c r="D44" s="1279" t="s">
        <v>520</v>
      </c>
      <c r="E44" s="2564"/>
      <c r="F44" s="2564"/>
      <c r="G44" s="2564"/>
      <c r="H44" s="2564"/>
      <c r="I44" s="2565" t="str">
        <f>S43&amp;".1"</f>
        <v>...1</v>
      </c>
      <c r="J44" s="1279"/>
      <c r="K44" s="1279"/>
      <c r="L44" s="1280"/>
      <c r="P44" s="2567">
        <v>1</v>
      </c>
      <c r="Q44" s="1397"/>
      <c r="R44" s="292"/>
      <c r="S44" s="1409" t="str">
        <f>$I44</f>
        <v>...1</v>
      </c>
      <c r="T44" s="222" t="s">
        <v>482</v>
      </c>
      <c r="U44" s="237"/>
      <c r="V44" s="2631"/>
      <c r="W44" s="2632"/>
      <c r="X44" s="2632"/>
      <c r="Y44" s="2632"/>
      <c r="Z44" s="2632"/>
      <c r="AA44" s="2632"/>
      <c r="AB44" s="2633"/>
      <c r="AC44" s="2634"/>
      <c r="AD44" s="2635"/>
      <c r="AE44" s="2635"/>
      <c r="AF44" s="2635"/>
      <c r="AG44" s="2635"/>
      <c r="AH44" s="2635"/>
      <c r="AI44" s="2635"/>
      <c r="AJ44" s="2636"/>
      <c r="AK44" s="1174" t="s">
        <v>483</v>
      </c>
      <c r="AM44" s="436"/>
      <c r="AN44" s="436" t="str">
        <f t="shared" si="1"/>
        <v>Наименование признака дифференциации</v>
      </c>
      <c r="AO44" s="436"/>
      <c r="AP44" s="436"/>
      <c r="AQ44" s="1071">
        <v>23</v>
      </c>
    </row>
    <row r="45" spans="1:43" ht="24" customHeight="1">
      <c r="A45" s="1279" t="s">
        <v>270</v>
      </c>
      <c r="B45" s="1279" t="s">
        <v>271</v>
      </c>
      <c r="C45" s="1279" t="s">
        <v>272</v>
      </c>
      <c r="D45" s="1279" t="s">
        <v>520</v>
      </c>
      <c r="E45" s="2564"/>
      <c r="F45" s="2564"/>
      <c r="G45" s="2564"/>
      <c r="H45" s="2564"/>
      <c r="I45" s="2566"/>
      <c r="J45" s="2565" t="str">
        <f>I44&amp;".1"</f>
        <v>...1.1</v>
      </c>
      <c r="K45" s="1279"/>
      <c r="L45" s="1280" t="s">
        <v>405</v>
      </c>
      <c r="P45" s="2567"/>
      <c r="Q45" s="2567">
        <v>1</v>
      </c>
      <c r="R45" s="293"/>
      <c r="S45" s="1409" t="str">
        <f>$J45</f>
        <v>...1.1</v>
      </c>
      <c r="T45" s="223" t="s">
        <v>406</v>
      </c>
      <c r="U45" s="237"/>
      <c r="V45" s="2551"/>
      <c r="W45" s="2552"/>
      <c r="X45" s="2552"/>
      <c r="Y45" s="2552"/>
      <c r="Z45" s="2552"/>
      <c r="AA45" s="2552"/>
      <c r="AB45" s="2553"/>
      <c r="AC45" s="2551"/>
      <c r="AD45" s="2552"/>
      <c r="AE45" s="2552"/>
      <c r="AF45" s="2552"/>
      <c r="AG45" s="2552"/>
      <c r="AH45" s="2552"/>
      <c r="AI45" s="2552"/>
      <c r="AJ45" s="2553"/>
      <c r="AK45" s="1223" t="s">
        <v>484</v>
      </c>
      <c r="AM45" s="436"/>
      <c r="AN45" s="436" t="str">
        <f t="shared" si="1"/>
        <v>Группа потребителей</v>
      </c>
      <c r="AO45" s="436"/>
      <c r="AP45" s="436"/>
      <c r="AQ45" s="1071">
        <v>23</v>
      </c>
    </row>
    <row r="46" spans="1:43" ht="24" customHeight="1">
      <c r="A46" s="1279" t="s">
        <v>270</v>
      </c>
      <c r="B46" s="1279" t="s">
        <v>271</v>
      </c>
      <c r="C46" s="1279" t="s">
        <v>272</v>
      </c>
      <c r="D46" s="1279" t="s">
        <v>520</v>
      </c>
      <c r="E46" s="2564"/>
      <c r="F46" s="2564"/>
      <c r="G46" s="2564"/>
      <c r="H46" s="2564"/>
      <c r="I46" s="2566"/>
      <c r="J46" s="2566"/>
      <c r="K46" s="2565" t="str">
        <f>J45&amp;".1"</f>
        <v>...1.1.1</v>
      </c>
      <c r="L46" s="1280"/>
      <c r="P46" s="2567"/>
      <c r="Q46" s="2567"/>
      <c r="R46" s="293">
        <v>1</v>
      </c>
      <c r="S46" s="1409" t="str">
        <f>$K46</f>
        <v>...1.1.1</v>
      </c>
      <c r="T46" s="1353"/>
      <c r="U46" s="237"/>
      <c r="V46" s="1276"/>
      <c r="W46" s="1276"/>
      <c r="X46" s="1277"/>
      <c r="Y46" s="2561"/>
      <c r="Z46" s="2560" t="s">
        <v>62</v>
      </c>
      <c r="AA46" s="2561"/>
      <c r="AB46" s="2560" t="s">
        <v>62</v>
      </c>
      <c r="AC46" s="687"/>
      <c r="AD46" s="687"/>
      <c r="AE46" s="1173"/>
      <c r="AF46" s="2568"/>
      <c r="AG46" s="2445" t="s">
        <v>62</v>
      </c>
      <c r="AH46" s="2570"/>
      <c r="AI46" s="2445" t="s">
        <v>19</v>
      </c>
      <c r="AJ46" s="1354"/>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1">
        <v>23</v>
      </c>
    </row>
    <row r="47" spans="1:43" ht="0" hidden="1" customHeight="1">
      <c r="A47" s="1279" t="s">
        <v>270</v>
      </c>
      <c r="B47" s="1279" t="s">
        <v>271</v>
      </c>
      <c r="C47" s="1279" t="s">
        <v>272</v>
      </c>
      <c r="D47" s="1279" t="s">
        <v>520</v>
      </c>
      <c r="E47" s="2564"/>
      <c r="F47" s="2564"/>
      <c r="G47" s="2564"/>
      <c r="H47" s="2564"/>
      <c r="I47" s="2566"/>
      <c r="J47" s="2566"/>
      <c r="K47" s="2565"/>
      <c r="L47" s="1280"/>
      <c r="P47" s="2567"/>
      <c r="Q47" s="2567"/>
      <c r="R47" s="293"/>
      <c r="S47" s="1406"/>
      <c r="T47" s="237"/>
      <c r="U47" s="237"/>
      <c r="V47" s="1276"/>
      <c r="W47" s="1276"/>
      <c r="X47" s="265" t="str">
        <f>Y46&amp;"-"&amp;AA46</f>
        <v>-</v>
      </c>
      <c r="Y47" s="2560"/>
      <c r="Z47" s="2560"/>
      <c r="AA47" s="2560"/>
      <c r="AB47" s="2560"/>
      <c r="AC47" s="262"/>
      <c r="AD47" s="262"/>
      <c r="AE47" s="265" t="str">
        <f>AF46&amp;"-"&amp;AH46</f>
        <v>-</v>
      </c>
      <c r="AF47" s="2569"/>
      <c r="AG47" s="2445"/>
      <c r="AH47" s="2571"/>
      <c r="AI47" s="2445"/>
      <c r="AJ47" s="1355"/>
      <c r="AK47" s="2637"/>
      <c r="AM47" s="436"/>
      <c r="AN47" s="436" t="str">
        <f t="shared" si="1"/>
        <v/>
      </c>
      <c r="AO47" s="436"/>
      <c r="AP47" s="436"/>
      <c r="AQ47" s="1071">
        <v>0</v>
      </c>
    </row>
    <row r="48" spans="1:43" ht="21" customHeight="1">
      <c r="A48" s="1279" t="s">
        <v>270</v>
      </c>
      <c r="B48" s="1279" t="s">
        <v>271</v>
      </c>
      <c r="C48" s="1279" t="s">
        <v>272</v>
      </c>
      <c r="D48" s="1279" t="s">
        <v>520</v>
      </c>
      <c r="E48" s="2564"/>
      <c r="F48" s="2564"/>
      <c r="G48" s="2564"/>
      <c r="H48" s="2564"/>
      <c r="I48" s="2566"/>
      <c r="J48" s="2565"/>
      <c r="K48" s="1279"/>
      <c r="L48" s="1280"/>
      <c r="P48" s="2567"/>
      <c r="Q48" s="2567"/>
      <c r="R48" s="292"/>
      <c r="S48" s="1194"/>
      <c r="T48" s="224" t="s">
        <v>485</v>
      </c>
      <c r="U48" s="303"/>
      <c r="V48" s="303"/>
      <c r="W48" s="303"/>
      <c r="X48" s="303"/>
      <c r="Y48" s="303"/>
      <c r="Z48" s="303"/>
      <c r="AA48" s="303"/>
      <c r="AB48" s="303"/>
      <c r="AC48" s="303"/>
      <c r="AD48" s="303"/>
      <c r="AE48" s="303"/>
      <c r="AF48" s="303"/>
      <c r="AG48" s="303"/>
      <c r="AH48" s="303"/>
      <c r="AI48" s="303"/>
      <c r="AJ48" s="303"/>
      <c r="AK48" s="1174" t="s">
        <v>486</v>
      </c>
      <c r="AM48" s="436"/>
      <c r="AN48" s="436" t="str">
        <f t="shared" si="1"/>
        <v>Добавить значение признака дифференциации</v>
      </c>
      <c r="AO48" s="436"/>
      <c r="AP48" s="436"/>
      <c r="AQ48" s="1071">
        <v>20</v>
      </c>
    </row>
    <row r="49" spans="1:43" ht="21.95" customHeight="1">
      <c r="A49" s="1279" t="s">
        <v>270</v>
      </c>
      <c r="B49" s="1279" t="s">
        <v>271</v>
      </c>
      <c r="C49" s="1279" t="s">
        <v>272</v>
      </c>
      <c r="D49" s="1279" t="s">
        <v>520</v>
      </c>
      <c r="E49" s="2564"/>
      <c r="F49" s="2564"/>
      <c r="G49" s="2564"/>
      <c r="H49" s="2564"/>
      <c r="I49" s="2565"/>
      <c r="J49" s="1279"/>
      <c r="K49" s="1279"/>
      <c r="L49" s="1280"/>
      <c r="P49" s="2567"/>
      <c r="Q49" s="1397"/>
      <c r="R49" s="292"/>
      <c r="S49" s="1194"/>
      <c r="T49" s="301" t="s">
        <v>411</v>
      </c>
      <c r="U49" s="303"/>
      <c r="V49" s="303"/>
      <c r="W49" s="303"/>
      <c r="X49" s="303"/>
      <c r="Y49" s="303"/>
      <c r="Z49" s="303"/>
      <c r="AA49" s="303"/>
      <c r="AB49" s="302"/>
      <c r="AC49" s="303"/>
      <c r="AD49" s="303"/>
      <c r="AE49" s="303"/>
      <c r="AF49" s="303"/>
      <c r="AG49" s="303"/>
      <c r="AH49" s="303"/>
      <c r="AI49" s="302"/>
      <c r="AJ49" s="303"/>
      <c r="AK49" s="1356"/>
      <c r="AM49" s="436"/>
      <c r="AN49" s="436" t="str">
        <f t="shared" si="1"/>
        <v>Добавить группу потребителей</v>
      </c>
      <c r="AO49" s="436"/>
      <c r="AP49" s="436"/>
      <c r="AQ49" s="1071">
        <v>21</v>
      </c>
    </row>
    <row r="50" spans="1:43" ht="21.95" customHeight="1">
      <c r="A50" s="1279" t="s">
        <v>270</v>
      </c>
      <c r="B50" s="1279" t="s">
        <v>271</v>
      </c>
      <c r="C50" s="1279" t="s">
        <v>272</v>
      </c>
      <c r="D50" s="1279" t="s">
        <v>520</v>
      </c>
      <c r="E50" s="2564"/>
      <c r="F50" s="2564"/>
      <c r="G50" s="2564"/>
      <c r="H50" s="2563"/>
      <c r="I50" s="1279"/>
      <c r="J50" s="1279"/>
      <c r="K50" s="1279"/>
      <c r="L50" s="1280"/>
      <c r="M50" s="1281"/>
      <c r="N50" s="1281"/>
      <c r="O50" s="473"/>
      <c r="P50" s="296"/>
      <c r="Q50" s="311"/>
      <c r="R50" s="291"/>
      <c r="S50" s="119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1">
        <v>21</v>
      </c>
    </row>
    <row r="51" spans="1:43" s="2344" customFormat="1" ht="0" hidden="1" customHeight="1">
      <c r="A51" s="1259" t="s">
        <v>270</v>
      </c>
      <c r="B51" s="1259" t="s">
        <v>271</v>
      </c>
      <c r="C51" s="1230"/>
      <c r="D51" s="1230"/>
      <c r="E51" s="2564"/>
      <c r="F51" s="2563"/>
      <c r="G51" s="1230"/>
      <c r="H51" s="1230"/>
      <c r="I51" s="1230"/>
      <c r="J51" s="1230"/>
      <c r="K51" s="1230"/>
      <c r="L51" s="1410"/>
      <c r="M51" s="1237"/>
      <c r="N51" s="1237"/>
      <c r="P51" s="1232"/>
      <c r="Q51" s="1233"/>
      <c r="R51" s="1232"/>
      <c r="S51" s="1238"/>
      <c r="T51" s="1241" t="s">
        <v>414</v>
      </c>
      <c r="U51" s="1240"/>
      <c r="V51" s="1240"/>
      <c r="W51" s="1240"/>
      <c r="X51" s="1240"/>
      <c r="Y51" s="1240"/>
      <c r="Z51" s="1240"/>
      <c r="AA51" s="1240"/>
      <c r="AB51" s="1240"/>
      <c r="AC51" s="1240"/>
      <c r="AD51" s="1240"/>
      <c r="AE51" s="1240"/>
      <c r="AF51" s="1240"/>
      <c r="AG51" s="1240"/>
      <c r="AH51" s="1240"/>
      <c r="AI51" s="1240"/>
      <c r="AJ51" s="1240"/>
      <c r="AK51" s="1240"/>
      <c r="AM51" s="719"/>
      <c r="AN51" s="719" t="str">
        <f t="shared" si="1"/>
        <v>Добавить централизованную систему для дифференциации</v>
      </c>
      <c r="AO51" s="719"/>
      <c r="AP51" s="719"/>
      <c r="AQ51" s="454">
        <v>0</v>
      </c>
    </row>
    <row r="52" spans="1:43" s="2344" customFormat="1" ht="0" hidden="1" customHeight="1">
      <c r="A52" s="1259" t="s">
        <v>270</v>
      </c>
      <c r="B52" s="1259"/>
      <c r="C52" s="1259"/>
      <c r="D52" s="1259"/>
      <c r="E52" s="2563"/>
      <c r="F52" s="1259"/>
      <c r="G52" s="1259"/>
      <c r="H52" s="1259"/>
      <c r="I52" s="1259"/>
      <c r="J52" s="1259"/>
      <c r="K52" s="1259"/>
      <c r="L52" s="1262"/>
      <c r="M52" s="1237"/>
      <c r="N52" s="1237"/>
      <c r="O52" s="454"/>
      <c r="P52" s="316"/>
      <c r="Q52" s="1260"/>
      <c r="R52" s="316"/>
      <c r="S52" s="1238"/>
      <c r="T52" s="1241" t="s">
        <v>415</v>
      </c>
      <c r="U52" s="1240"/>
      <c r="V52" s="1240"/>
      <c r="W52" s="1240"/>
      <c r="X52" s="1240"/>
      <c r="Y52" s="1240"/>
      <c r="Z52" s="1240"/>
      <c r="AA52" s="1240"/>
      <c r="AB52" s="1240"/>
      <c r="AC52" s="1240"/>
      <c r="AD52" s="1240"/>
      <c r="AE52" s="1240"/>
      <c r="AF52" s="1240"/>
      <c r="AG52" s="1240"/>
      <c r="AH52" s="1240"/>
      <c r="AI52" s="1240"/>
      <c r="AJ52" s="1240"/>
      <c r="AK52" s="1240"/>
      <c r="AM52" s="436"/>
      <c r="AN52" s="436" t="str">
        <f t="shared" si="1"/>
        <v>Добавить территорию для дифференциации</v>
      </c>
      <c r="AO52" s="436"/>
      <c r="AP52" s="436"/>
      <c r="AQ52" s="447">
        <v>0</v>
      </c>
    </row>
    <row r="53" spans="1:43" s="2344" customFormat="1" ht="0" hidden="1" customHeight="1">
      <c r="A53" s="1230"/>
      <c r="B53" s="1230"/>
      <c r="C53" s="1230"/>
      <c r="D53" s="1230"/>
      <c r="E53" s="1259"/>
      <c r="F53" s="1230"/>
      <c r="G53" s="1230"/>
      <c r="H53" s="1230"/>
      <c r="I53" s="1230"/>
      <c r="J53" s="1230"/>
      <c r="K53" s="1230"/>
      <c r="L53" s="1410"/>
      <c r="M53" s="1237"/>
      <c r="N53" s="1237"/>
      <c r="P53" s="1232"/>
      <c r="Q53" s="1233"/>
      <c r="R53" s="1232"/>
      <c r="S53" s="1238"/>
      <c r="T53" s="1241" t="s">
        <v>447</v>
      </c>
      <c r="U53" s="1240"/>
      <c r="V53" s="1240"/>
      <c r="W53" s="1240"/>
      <c r="X53" s="1240"/>
      <c r="Y53" s="1240"/>
      <c r="Z53" s="1240"/>
      <c r="AA53" s="1240"/>
      <c r="AB53" s="1240"/>
      <c r="AC53" s="1240"/>
      <c r="AD53" s="1240"/>
      <c r="AE53" s="1240"/>
      <c r="AF53" s="1240"/>
      <c r="AG53" s="1240"/>
      <c r="AH53" s="1240"/>
      <c r="AI53" s="1240"/>
      <c r="AJ53" s="1240"/>
      <c r="AK53" s="1240"/>
      <c r="AM53" s="719"/>
      <c r="AN53" s="719" t="str">
        <f t="shared" si="1"/>
        <v>Добавить наименование тарифа</v>
      </c>
      <c r="AO53" s="719"/>
      <c r="AP53" s="719"/>
      <c r="AQ53" s="454">
        <v>0</v>
      </c>
    </row>
    <row r="54" spans="1:43" ht="11.45" customHeight="1">
      <c r="M54" s="1076"/>
      <c r="N54" s="1076"/>
      <c r="O54" s="473"/>
      <c r="P54" s="1071"/>
      <c r="Q54" s="1071"/>
      <c r="R54" s="1071"/>
      <c r="S54" s="1071"/>
      <c r="AL54" s="1071"/>
      <c r="AM54" s="1071"/>
      <c r="AN54" s="1071"/>
      <c r="AO54" s="1071"/>
      <c r="AP54" s="1071"/>
      <c r="AQ54" s="1071">
        <v>11</v>
      </c>
    </row>
    <row r="55" spans="1:43" ht="14.65" customHeight="1">
      <c r="O55" s="473"/>
      <c r="S55" s="1169"/>
      <c r="T55" s="2562"/>
      <c r="U55" s="2562"/>
      <c r="V55" s="2562"/>
      <c r="W55" s="2562"/>
      <c r="X55" s="2562"/>
      <c r="Y55" s="2562"/>
      <c r="Z55" s="2562"/>
      <c r="AA55" s="2562"/>
      <c r="AB55" s="2562"/>
      <c r="AC55" s="2562"/>
      <c r="AD55" s="2562"/>
      <c r="AE55" s="2562"/>
      <c r="AF55" s="2562"/>
      <c r="AG55" s="2562"/>
      <c r="AH55" s="2562"/>
      <c r="AI55" s="2562"/>
      <c r="AJ55" s="2562"/>
      <c r="AK55" s="2562"/>
      <c r="AQ55" s="1071">
        <v>14</v>
      </c>
    </row>
    <row r="56" spans="1:43" ht="14.65" customHeight="1">
      <c r="O56" s="473"/>
      <c r="AQ56" s="1071">
        <v>14</v>
      </c>
    </row>
    <row r="57" spans="1:43" ht="14.65" customHeight="1">
      <c r="O57" s="473"/>
      <c r="S57" s="1169"/>
      <c r="T57" s="2562"/>
      <c r="U57" s="2562"/>
      <c r="V57" s="2562"/>
      <c r="W57" s="2562"/>
      <c r="X57" s="2562"/>
      <c r="Y57" s="2562"/>
      <c r="Z57" s="2562"/>
      <c r="AA57" s="2562"/>
      <c r="AB57" s="2562"/>
      <c r="AC57" s="2562"/>
      <c r="AD57" s="2562"/>
      <c r="AE57" s="2562"/>
      <c r="AF57" s="2562"/>
      <c r="AG57" s="2562"/>
      <c r="AH57" s="2562"/>
      <c r="AI57" s="2562"/>
      <c r="AJ57" s="2562"/>
      <c r="AK57" s="2562"/>
      <c r="AQ57" s="1071">
        <v>14</v>
      </c>
    </row>
    <row r="58" spans="1:43" ht="22.5" hidden="1" customHeight="1">
      <c r="A58" s="1076" t="s">
        <v>82</v>
      </c>
      <c r="B58" s="1076">
        <v>0</v>
      </c>
      <c r="C58" s="1076">
        <v>0</v>
      </c>
      <c r="D58" s="1076">
        <v>0</v>
      </c>
      <c r="E58" s="1076">
        <v>0</v>
      </c>
      <c r="F58" s="1076">
        <v>0</v>
      </c>
      <c r="G58" s="1076">
        <v>0</v>
      </c>
      <c r="H58" s="1076">
        <v>0</v>
      </c>
      <c r="I58" s="1076">
        <v>0</v>
      </c>
      <c r="J58" s="1076">
        <v>0</v>
      </c>
      <c r="K58" s="1076">
        <v>0</v>
      </c>
      <c r="L58" s="1394">
        <v>0</v>
      </c>
      <c r="M58" s="1278">
        <v>0</v>
      </c>
      <c r="N58" s="1278">
        <v>0</v>
      </c>
      <c r="O58" s="1278">
        <v>0</v>
      </c>
      <c r="P58" s="1389">
        <v>3</v>
      </c>
      <c r="Q58" s="281">
        <v>3</v>
      </c>
      <c r="R58" s="281">
        <v>3</v>
      </c>
      <c r="S58" s="517">
        <v>12</v>
      </c>
      <c r="T58" s="1071">
        <v>35</v>
      </c>
      <c r="U58" s="1071">
        <v>0</v>
      </c>
      <c r="V58" s="1071">
        <v>0</v>
      </c>
      <c r="W58" s="1071">
        <v>0</v>
      </c>
      <c r="X58" s="1071">
        <v>0</v>
      </c>
      <c r="Y58" s="1071">
        <v>0</v>
      </c>
      <c r="Z58" s="1071">
        <v>0</v>
      </c>
      <c r="AA58" s="1071">
        <v>0</v>
      </c>
      <c r="AB58" s="1071">
        <v>0</v>
      </c>
      <c r="AC58" s="1071">
        <v>24</v>
      </c>
      <c r="AD58" s="1071">
        <v>24</v>
      </c>
      <c r="AE58" s="1071">
        <v>24</v>
      </c>
      <c r="AF58" s="1071">
        <v>11</v>
      </c>
      <c r="AG58" s="1071">
        <v>3</v>
      </c>
      <c r="AH58" s="1071">
        <v>11</v>
      </c>
      <c r="AI58" s="1071">
        <v>0</v>
      </c>
      <c r="AJ58" s="1071">
        <v>4</v>
      </c>
      <c r="AK58" s="1071">
        <v>115</v>
      </c>
      <c r="AL58" s="447">
        <v>10</v>
      </c>
      <c r="AM58" s="447">
        <v>10</v>
      </c>
      <c r="AN58" s="447">
        <v>10</v>
      </c>
      <c r="AO58" s="447">
        <v>10</v>
      </c>
      <c r="AP58" s="447">
        <v>10</v>
      </c>
      <c r="AQ58" s="107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57" hidden="1" customWidth="1"/>
    <col min="2" max="2" width="11" style="2357" hidden="1" customWidth="1"/>
    <col min="3" max="3" width="10.5703125" style="2357" hidden="1"/>
    <col min="4" max="4" width="12.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7109375" style="2336" hidden="1" customWidth="1"/>
    <col min="17" max="17" width="3.7109375" style="2339" hidden="1" customWidth="1"/>
    <col min="18" max="18" width="3" style="2359" customWidth="1"/>
    <col min="19" max="19" width="12" style="2387" customWidth="1"/>
    <col min="20" max="20" width="31" style="2360" customWidth="1"/>
    <col min="21" max="21" width="0.140625" style="2360" customWidth="1"/>
    <col min="22" max="25" width="21.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3.7109375" style="2360" customWidth="1"/>
    <col min="31" max="32" width="3" style="2360" customWidth="1"/>
    <col min="33" max="33" width="24" style="2360" customWidth="1"/>
    <col min="34" max="34" width="3.7109375" style="2360" customWidth="1"/>
    <col min="35" max="36" width="3" style="2360" customWidth="1"/>
    <col min="37" max="37" width="24" style="2360" customWidth="1"/>
    <col min="38" max="38" width="3.7109375" style="2360" customWidth="1"/>
    <col min="39" max="40" width="3" style="2360" customWidth="1"/>
    <col min="41" max="41" width="18" style="2360" customWidth="1"/>
    <col min="42" max="42" width="3.7109375" style="2360" customWidth="1"/>
    <col min="43" max="44" width="3" style="2360" customWidth="1"/>
    <col min="45" max="45" width="18" style="2360" customWidth="1"/>
    <col min="46" max="49" width="21" style="2360" customWidth="1"/>
    <col min="50" max="50" width="11" style="2360" customWidth="1"/>
    <col min="51" max="51" width="3.7109375" style="2360" customWidth="1"/>
    <col min="52" max="52" width="11" style="2360" customWidth="1"/>
    <col min="53" max="53" width="8.5703125" style="2360" hidden="1" customWidth="1"/>
    <col min="54" max="54" width="4" style="2360" customWidth="1"/>
    <col min="55" max="55" width="115" style="2360" customWidth="1"/>
    <col min="56" max="60" width="10" style="2344" customWidth="1"/>
    <col min="61" max="61" width="10.5703125" style="2360" hidden="1"/>
  </cols>
  <sheetData>
    <row r="1" spans="1:61" ht="22.5" hidden="1" customHeight="1">
      <c r="W1" s="264"/>
      <c r="Y1" s="264"/>
      <c r="Z1" s="264"/>
      <c r="AW1" s="264"/>
      <c r="AX1" s="264"/>
      <c r="BI1" s="1071" t="s">
        <v>14</v>
      </c>
    </row>
    <row r="2" spans="1:61" ht="21" hidden="1" customHeight="1">
      <c r="A2" s="1279"/>
      <c r="B2" s="1279"/>
      <c r="C2" s="1279"/>
      <c r="D2" s="1279"/>
      <c r="E2" s="2563">
        <v>1</v>
      </c>
      <c r="F2" s="1279"/>
      <c r="G2" s="1279"/>
      <c r="H2" s="1279"/>
      <c r="I2" s="1279"/>
      <c r="J2" s="1279"/>
      <c r="K2" s="1279"/>
      <c r="L2" s="1280"/>
      <c r="M2" s="1281"/>
      <c r="N2" s="1281"/>
      <c r="O2" s="1281"/>
      <c r="P2" s="1325"/>
      <c r="Q2" s="799"/>
      <c r="R2" s="291"/>
      <c r="S2" s="1409" t="e">
        <f>INDEX(PT_DIFFERENTIATION_NUM_NTAR,MATCH(A2,PT_DIFFERENTIATION_NTAR_ID,0))</f>
        <v>#N/A</v>
      </c>
      <c r="T2" s="235" t="s">
        <v>124</v>
      </c>
      <c r="U2" s="237"/>
      <c r="V2" s="2558"/>
      <c r="W2" s="2558"/>
      <c r="X2" s="2558"/>
      <c r="Y2" s="2558"/>
      <c r="Z2" s="2558"/>
      <c r="AA2" s="2558"/>
      <c r="AB2" s="2558"/>
      <c r="AC2" s="2559"/>
      <c r="AD2" s="2557" t="e">
        <f>INDEX(PT_DIFFERENTIATION_NTAR,MATCH(A2,PT_DIFFERENTIATION_NTAR_ID,0))</f>
        <v>#N/A</v>
      </c>
      <c r="AE2" s="2558"/>
      <c r="AF2" s="2558"/>
      <c r="AG2" s="2558"/>
      <c r="AH2" s="2558"/>
      <c r="AI2" s="2558"/>
      <c r="AJ2" s="2558"/>
      <c r="AK2" s="2558"/>
      <c r="AL2" s="2558"/>
      <c r="AM2" s="2558"/>
      <c r="AN2" s="2558"/>
      <c r="AO2" s="2558"/>
      <c r="AP2" s="2558"/>
      <c r="AQ2" s="2558"/>
      <c r="AR2" s="2558"/>
      <c r="AS2" s="2558"/>
      <c r="AT2" s="2558"/>
      <c r="AU2" s="2558"/>
      <c r="AV2" s="2558"/>
      <c r="AW2" s="2558"/>
      <c r="AX2" s="2558"/>
      <c r="AY2" s="2558"/>
      <c r="AZ2" s="2558"/>
      <c r="BA2" s="2558"/>
      <c r="BB2" s="2559"/>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564"/>
      <c r="F3" s="2563">
        <v>1</v>
      </c>
      <c r="G3" s="1279"/>
      <c r="H3" s="1279"/>
      <c r="I3" s="1279"/>
      <c r="J3" s="1279"/>
      <c r="K3" s="1279"/>
      <c r="L3" s="1280"/>
      <c r="M3" s="1281"/>
      <c r="N3" s="1281"/>
      <c r="O3" s="1281"/>
      <c r="P3" s="1326"/>
      <c r="Q3" s="1327"/>
      <c r="R3" s="289"/>
      <c r="S3" s="1409" t="e">
        <f>INDEX(PT_DIFFERENTIATION_NUM_TER,MATCH(B3,PT_DIFFERENTIATION_TER_ID,0))</f>
        <v>#N/A</v>
      </c>
      <c r="T3" s="245" t="s">
        <v>396</v>
      </c>
      <c r="U3" s="237"/>
      <c r="V3" s="2558"/>
      <c r="W3" s="2558"/>
      <c r="X3" s="2558"/>
      <c r="Y3" s="2558"/>
      <c r="Z3" s="2558"/>
      <c r="AA3" s="2558"/>
      <c r="AB3" s="2558"/>
      <c r="AC3" s="2559"/>
      <c r="AD3" s="2557" t="e">
        <f>INDEX(PT_DIFFERENTIATION_TER,MATCH(B3,PT_DIFFERENTIATION_TER_ID,0))</f>
        <v>#N/A</v>
      </c>
      <c r="AE3" s="2558"/>
      <c r="AF3" s="2558"/>
      <c r="AG3" s="2558"/>
      <c r="AH3" s="2558"/>
      <c r="AI3" s="2558"/>
      <c r="AJ3" s="2558"/>
      <c r="AK3" s="2558"/>
      <c r="AL3" s="2558"/>
      <c r="AM3" s="2558"/>
      <c r="AN3" s="2558"/>
      <c r="AO3" s="2558"/>
      <c r="AP3" s="2558"/>
      <c r="AQ3" s="2558"/>
      <c r="AR3" s="2558"/>
      <c r="AS3" s="2558"/>
      <c r="AT3" s="2558"/>
      <c r="AU3" s="2558"/>
      <c r="AV3" s="2558"/>
      <c r="AW3" s="2558"/>
      <c r="AX3" s="2558"/>
      <c r="AY3" s="2558"/>
      <c r="AZ3" s="2558"/>
      <c r="BA3" s="2558"/>
      <c r="BB3" s="2559"/>
      <c r="BC3" s="1174" t="s">
        <v>397</v>
      </c>
      <c r="BE3" s="436"/>
      <c r="BF3" s="436" t="str">
        <f t="shared" si="0"/>
        <v>Территория действия тарифа</v>
      </c>
      <c r="BG3" s="436"/>
      <c r="BH3" s="436"/>
      <c r="BI3" s="1071">
        <v>0</v>
      </c>
    </row>
    <row r="4" spans="1:61" ht="33.75" hidden="1" customHeight="1">
      <c r="A4" s="1279"/>
      <c r="B4" s="1279"/>
      <c r="C4" s="1279"/>
      <c r="D4" s="1279"/>
      <c r="E4" s="2564"/>
      <c r="F4" s="2564"/>
      <c r="G4" s="2563">
        <v>1</v>
      </c>
      <c r="H4" s="1279"/>
      <c r="I4" s="1279"/>
      <c r="J4" s="1279"/>
      <c r="K4" s="1279"/>
      <c r="L4" s="1280"/>
      <c r="M4" s="1281"/>
      <c r="N4" s="1281"/>
      <c r="O4" s="1281"/>
      <c r="P4" s="1328"/>
      <c r="Q4" s="1327"/>
      <c r="R4" s="289"/>
      <c r="S4" s="1409" t="e">
        <f>INDEX(PT_DIFFERENTIATION_NUM_CS,MATCH(C4,PT_DIFFERENTIATION_CS_ID,0))</f>
        <v>#N/A</v>
      </c>
      <c r="T4" s="246" t="s">
        <v>515</v>
      </c>
      <c r="U4" s="237"/>
      <c r="V4" s="2558"/>
      <c r="W4" s="2558"/>
      <c r="X4" s="2558"/>
      <c r="Y4" s="2558"/>
      <c r="Z4" s="2558"/>
      <c r="AA4" s="2558"/>
      <c r="AB4" s="2558"/>
      <c r="AC4" s="2559"/>
      <c r="AD4" s="2557" t="e">
        <f>INDEX(PT_DIFFERENTIATION_CS,MATCH(C4,PT_DIFFERENTIATION_CS_ID,0))</f>
        <v>#N/A</v>
      </c>
      <c r="AE4" s="2558"/>
      <c r="AF4" s="2558"/>
      <c r="AG4" s="2558"/>
      <c r="AH4" s="2558"/>
      <c r="AI4" s="2558"/>
      <c r="AJ4" s="2558"/>
      <c r="AK4" s="2558"/>
      <c r="AL4" s="2558"/>
      <c r="AM4" s="2558"/>
      <c r="AN4" s="2558"/>
      <c r="AO4" s="2558"/>
      <c r="AP4" s="2558"/>
      <c r="AQ4" s="2558"/>
      <c r="AR4" s="2558"/>
      <c r="AS4" s="2558"/>
      <c r="AT4" s="2558"/>
      <c r="AU4" s="2558"/>
      <c r="AV4" s="2558"/>
      <c r="AW4" s="2558"/>
      <c r="AX4" s="2558"/>
      <c r="AY4" s="2558"/>
      <c r="AZ4" s="2558"/>
      <c r="BA4" s="2558"/>
      <c r="BB4" s="2559"/>
      <c r="BC4" s="1174" t="s">
        <v>516</v>
      </c>
      <c r="BE4" s="436"/>
      <c r="BF4" s="436" t="str">
        <f t="shared" si="0"/>
        <v>Наименование централизованной системы водоотведения</v>
      </c>
      <c r="BG4" s="436"/>
      <c r="BH4" s="436"/>
      <c r="BI4" s="1071">
        <v>0</v>
      </c>
    </row>
    <row r="5" spans="1:61" s="2344" customFormat="1" ht="14.25" hidden="1" customHeight="1">
      <c r="A5" s="1259"/>
      <c r="B5" s="1259"/>
      <c r="C5" s="1259"/>
      <c r="D5" s="1259"/>
      <c r="E5" s="2564"/>
      <c r="F5" s="2564"/>
      <c r="G5" s="2564"/>
      <c r="H5" s="2563">
        <v>1</v>
      </c>
      <c r="I5" s="1259"/>
      <c r="J5" s="1259"/>
      <c r="K5" s="1259"/>
      <c r="L5" s="1262"/>
      <c r="M5" s="1231"/>
      <c r="N5" s="1231"/>
      <c r="O5" s="1231"/>
      <c r="P5" s="1413"/>
      <c r="Q5" s="1414"/>
      <c r="R5" s="293"/>
      <c r="S5" s="964"/>
      <c r="T5" s="1415"/>
      <c r="U5" s="1300"/>
      <c r="V5" s="2595"/>
      <c r="W5" s="2595"/>
      <c r="X5" s="2595"/>
      <c r="Y5" s="2595"/>
      <c r="Z5" s="2595"/>
      <c r="AA5" s="2595"/>
      <c r="AB5" s="2595"/>
      <c r="AC5" s="2596"/>
      <c r="AD5" s="2594"/>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6"/>
      <c r="BC5" s="1301" t="s">
        <v>401</v>
      </c>
      <c r="BE5" s="436"/>
      <c r="BF5" s="436" t="str">
        <f t="shared" si="0"/>
        <v/>
      </c>
      <c r="BG5" s="436"/>
      <c r="BH5" s="436"/>
      <c r="BI5" s="447">
        <v>0</v>
      </c>
    </row>
    <row r="6" spans="1:61" s="2344" customFormat="1" ht="14.25" hidden="1" customHeight="1">
      <c r="A6" s="1259"/>
      <c r="B6" s="1259"/>
      <c r="C6" s="1259"/>
      <c r="D6" s="1259"/>
      <c r="E6" s="2564"/>
      <c r="F6" s="2564"/>
      <c r="G6" s="2564"/>
      <c r="H6" s="2564"/>
      <c r="I6" s="2565" t="str">
        <f>S5&amp;".1"</f>
        <v>.1</v>
      </c>
      <c r="J6" s="1259"/>
      <c r="K6" s="1259"/>
      <c r="L6" s="1262" t="s">
        <v>402</v>
      </c>
      <c r="M6" s="446"/>
      <c r="N6" s="446"/>
      <c r="O6" s="446"/>
      <c r="P6" s="2567">
        <v>1</v>
      </c>
      <c r="Q6" s="1397"/>
      <c r="R6" s="292"/>
      <c r="S6" s="964"/>
      <c r="T6" s="1299"/>
      <c r="U6" s="1300"/>
      <c r="V6" s="2595"/>
      <c r="W6" s="2595"/>
      <c r="X6" s="2595"/>
      <c r="Y6" s="2595"/>
      <c r="Z6" s="2595"/>
      <c r="AA6" s="2595"/>
      <c r="AB6" s="2595"/>
      <c r="AC6" s="2596"/>
      <c r="AD6" s="2594"/>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6"/>
      <c r="BC6" s="1301"/>
      <c r="BE6" s="436"/>
      <c r="BF6" s="436" t="str">
        <f t="shared" si="0"/>
        <v/>
      </c>
      <c r="BG6" s="436"/>
      <c r="BH6" s="436"/>
      <c r="BI6" s="447">
        <v>0</v>
      </c>
    </row>
    <row r="7" spans="1:61" s="2344" customFormat="1" ht="14.25" hidden="1" customHeight="1">
      <c r="A7" s="1259"/>
      <c r="B7" s="1259"/>
      <c r="C7" s="1259"/>
      <c r="D7" s="1259"/>
      <c r="E7" s="2564"/>
      <c r="F7" s="2564"/>
      <c r="G7" s="2564"/>
      <c r="H7" s="2564"/>
      <c r="I7" s="2566"/>
      <c r="J7" s="2565" t="str">
        <f>S5&amp;".1"</f>
        <v>.1</v>
      </c>
      <c r="K7" s="1259"/>
      <c r="L7" s="1262"/>
      <c r="M7" s="446"/>
      <c r="N7" s="446"/>
      <c r="O7" s="446"/>
      <c r="P7" s="2567"/>
      <c r="Q7" s="2567">
        <v>1</v>
      </c>
      <c r="R7" s="293"/>
      <c r="S7" s="964"/>
      <c r="T7" s="1315"/>
      <c r="U7" s="1300"/>
      <c r="V7" s="2595"/>
      <c r="W7" s="2595"/>
      <c r="X7" s="2595"/>
      <c r="Y7" s="2595"/>
      <c r="Z7" s="2595"/>
      <c r="AA7" s="2595"/>
      <c r="AB7" s="2595"/>
      <c r="AC7" s="2596"/>
      <c r="AD7" s="2594"/>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6"/>
      <c r="BC7" s="1301"/>
      <c r="BE7" s="436"/>
      <c r="BF7" s="436" t="str">
        <f t="shared" si="0"/>
        <v/>
      </c>
      <c r="BG7" s="436"/>
      <c r="BH7" s="436"/>
      <c r="BI7" s="447">
        <v>0</v>
      </c>
    </row>
    <row r="8" spans="1:61" ht="11.25" hidden="1" customHeight="1">
      <c r="A8" s="1279"/>
      <c r="B8" s="1279"/>
      <c r="C8" s="1279"/>
      <c r="D8" s="1279"/>
      <c r="E8" s="2564"/>
      <c r="F8" s="2564"/>
      <c r="G8" s="2564"/>
      <c r="H8" s="2564"/>
      <c r="I8" s="2566"/>
      <c r="J8" s="2566"/>
      <c r="K8" s="2565" t="e">
        <f>S4&amp;".1"</f>
        <v>#N/A</v>
      </c>
      <c r="L8" s="1280"/>
      <c r="P8" s="2567"/>
      <c r="Q8" s="2567"/>
      <c r="R8" s="2623">
        <v>1</v>
      </c>
      <c r="S8" s="2620" t="e">
        <f>$K8</f>
        <v>#N/A</v>
      </c>
      <c r="T8" s="2640"/>
      <c r="U8" s="237"/>
      <c r="V8" s="687"/>
      <c r="W8" s="1173"/>
      <c r="X8" s="687"/>
      <c r="Y8" s="1173"/>
      <c r="Z8" s="1649"/>
      <c r="AA8" s="1385" t="s">
        <v>62</v>
      </c>
      <c r="AB8" s="1649"/>
      <c r="AC8" s="1385" t="s">
        <v>62</v>
      </c>
      <c r="AD8" s="2507" t="s">
        <v>62</v>
      </c>
      <c r="AE8" s="2616"/>
      <c r="AF8" s="2520">
        <v>1</v>
      </c>
      <c r="AG8" s="2639"/>
      <c r="AH8" s="2445" t="s">
        <v>62</v>
      </c>
      <c r="AI8" s="2616"/>
      <c r="AJ8" s="2520">
        <v>1</v>
      </c>
      <c r="AK8" s="2630" t="s">
        <v>22</v>
      </c>
      <c r="AL8" s="2445" t="s">
        <v>62</v>
      </c>
      <c r="AM8" s="2495"/>
      <c r="AN8" s="2520">
        <v>1</v>
      </c>
      <c r="AO8" s="2643"/>
      <c r="AP8" s="2644" t="s">
        <v>62</v>
      </c>
      <c r="AQ8" s="248"/>
      <c r="AR8" s="1402">
        <v>1</v>
      </c>
      <c r="AS8" s="1408" t="s">
        <v>22</v>
      </c>
      <c r="AT8" s="687"/>
      <c r="AU8" s="1173"/>
      <c r="AV8" s="687"/>
      <c r="AW8" s="1173"/>
      <c r="AX8" s="1649"/>
      <c r="AY8" s="1385" t="s">
        <v>62</v>
      </c>
      <c r="AZ8" s="1649"/>
      <c r="BA8" s="1385" t="s">
        <v>62</v>
      </c>
      <c r="BB8" s="1264"/>
      <c r="BC8" s="2586" t="s">
        <v>500</v>
      </c>
      <c r="BE8" s="436"/>
      <c r="BF8" s="436" t="str">
        <f t="shared" si="0"/>
        <v/>
      </c>
      <c r="BG8" s="436"/>
      <c r="BH8" s="436"/>
      <c r="BI8" s="1071">
        <v>0</v>
      </c>
    </row>
    <row r="9" spans="1:61" ht="11.25" hidden="1" customHeight="1">
      <c r="A9" s="1279"/>
      <c r="B9" s="1279"/>
      <c r="C9" s="1279"/>
      <c r="D9" s="1279"/>
      <c r="E9" s="2564"/>
      <c r="F9" s="2564"/>
      <c r="G9" s="2564"/>
      <c r="H9" s="2564"/>
      <c r="I9" s="2566"/>
      <c r="J9" s="2566"/>
      <c r="K9" s="2565"/>
      <c r="L9" s="1280"/>
      <c r="P9" s="2567"/>
      <c r="Q9" s="2567"/>
      <c r="R9" s="2623"/>
      <c r="S9" s="2621"/>
      <c r="T9" s="2641"/>
      <c r="U9" s="237"/>
      <c r="V9" s="1309"/>
      <c r="W9" s="1412"/>
      <c r="X9" s="1309"/>
      <c r="Y9" s="1412"/>
      <c r="Z9" s="1309"/>
      <c r="AA9" s="1309"/>
      <c r="AB9" s="1309"/>
      <c r="AC9" s="1309"/>
      <c r="AD9" s="2508"/>
      <c r="AE9" s="2616"/>
      <c r="AF9" s="2520"/>
      <c r="AG9" s="2639"/>
      <c r="AH9" s="2445"/>
      <c r="AI9" s="2616"/>
      <c r="AJ9" s="2520"/>
      <c r="AK9" s="2630"/>
      <c r="AL9" s="2445"/>
      <c r="AM9" s="2500"/>
      <c r="AN9" s="2520"/>
      <c r="AO9" s="2643"/>
      <c r="AP9" s="2645"/>
      <c r="AQ9" s="253"/>
      <c r="AR9" s="352"/>
      <c r="AS9" s="352" t="s">
        <v>501</v>
      </c>
      <c r="AT9" s="1309"/>
      <c r="AU9" s="1412"/>
      <c r="AV9" s="1309"/>
      <c r="AW9" s="1412"/>
      <c r="AX9" s="1309"/>
      <c r="AY9" s="1309"/>
      <c r="AZ9" s="1309"/>
      <c r="BA9" s="1309"/>
      <c r="BB9" s="1313"/>
      <c r="BC9" s="2587"/>
      <c r="BE9" s="436"/>
      <c r="BF9" s="436"/>
      <c r="BG9" s="436"/>
      <c r="BH9" s="436"/>
      <c r="BI9" s="1071">
        <v>0</v>
      </c>
    </row>
    <row r="10" spans="1:61" ht="11.25" hidden="1" customHeight="1">
      <c r="A10" s="1279"/>
      <c r="B10" s="1279"/>
      <c r="C10" s="1279"/>
      <c r="D10" s="1279"/>
      <c r="E10" s="2564"/>
      <c r="F10" s="2564"/>
      <c r="G10" s="2564"/>
      <c r="H10" s="2564"/>
      <c r="I10" s="2566"/>
      <c r="J10" s="2566"/>
      <c r="K10" s="2565"/>
      <c r="L10" s="1280"/>
      <c r="P10" s="2567"/>
      <c r="Q10" s="2567"/>
      <c r="R10" s="2623"/>
      <c r="S10" s="2621"/>
      <c r="T10" s="2641"/>
      <c r="U10" s="237"/>
      <c r="V10" s="1309"/>
      <c r="W10" s="1412"/>
      <c r="X10" s="1309"/>
      <c r="Y10" s="1412"/>
      <c r="Z10" s="1309"/>
      <c r="AA10" s="1309"/>
      <c r="AB10" s="1309"/>
      <c r="AC10" s="1309"/>
      <c r="AD10" s="2508"/>
      <c r="AE10" s="2616"/>
      <c r="AF10" s="2520"/>
      <c r="AG10" s="2639"/>
      <c r="AH10" s="2445"/>
      <c r="AI10" s="2616"/>
      <c r="AJ10" s="2520"/>
      <c r="AK10" s="2630"/>
      <c r="AL10" s="2445"/>
      <c r="AM10" s="253"/>
      <c r="AN10" s="1416"/>
      <c r="AO10" s="1416" t="s">
        <v>521</v>
      </c>
      <c r="AP10" s="352"/>
      <c r="AQ10" s="352"/>
      <c r="AR10" s="352"/>
      <c r="AS10" s="1309"/>
      <c r="AT10" s="1309"/>
      <c r="AU10" s="1412"/>
      <c r="AV10" s="1309"/>
      <c r="AW10" s="1412"/>
      <c r="AX10" s="1309"/>
      <c r="AY10" s="1309"/>
      <c r="AZ10" s="1309"/>
      <c r="BA10" s="1309"/>
      <c r="BB10" s="1313"/>
      <c r="BC10" s="2587"/>
      <c r="BE10" s="436"/>
      <c r="BF10" s="436"/>
      <c r="BG10" s="436"/>
      <c r="BH10" s="436"/>
      <c r="BI10" s="1071">
        <v>0</v>
      </c>
    </row>
    <row r="11" spans="1:61" ht="11.25" hidden="1" customHeight="1">
      <c r="A11" s="1279"/>
      <c r="B11" s="1279"/>
      <c r="C11" s="1279"/>
      <c r="D11" s="1279"/>
      <c r="E11" s="2564"/>
      <c r="F11" s="2564"/>
      <c r="G11" s="2564"/>
      <c r="H11" s="2564"/>
      <c r="I11" s="2566"/>
      <c r="J11" s="2566"/>
      <c r="K11" s="2565"/>
      <c r="L11" s="1280"/>
      <c r="P11" s="2567"/>
      <c r="Q11" s="2567"/>
      <c r="R11" s="2623"/>
      <c r="S11" s="2621"/>
      <c r="T11" s="2641"/>
      <c r="U11" s="237"/>
      <c r="V11" s="1309"/>
      <c r="W11" s="1412"/>
      <c r="X11" s="1309"/>
      <c r="Y11" s="1412"/>
      <c r="Z11" s="1309"/>
      <c r="AA11" s="1309"/>
      <c r="AB11" s="1309"/>
      <c r="AC11" s="1309"/>
      <c r="AD11" s="2508"/>
      <c r="AE11" s="2616"/>
      <c r="AF11" s="2520"/>
      <c r="AG11" s="2639"/>
      <c r="AH11" s="2445"/>
      <c r="AI11" s="231"/>
      <c r="AJ11" s="351"/>
      <c r="AK11" s="250" t="s">
        <v>522</v>
      </c>
      <c r="AL11" s="1309"/>
      <c r="AM11" s="1309"/>
      <c r="AN11" s="1309"/>
      <c r="AO11" s="1309"/>
      <c r="AP11" s="1309"/>
      <c r="AQ11" s="1309"/>
      <c r="AR11" s="1309"/>
      <c r="AS11" s="1309"/>
      <c r="AT11" s="1309"/>
      <c r="AU11" s="1412"/>
      <c r="AV11" s="1309"/>
      <c r="AW11" s="1412"/>
      <c r="AX11" s="1309"/>
      <c r="AY11" s="1309"/>
      <c r="AZ11" s="1309"/>
      <c r="BA11" s="1309"/>
      <c r="BB11" s="1313"/>
      <c r="BC11" s="2587"/>
      <c r="BE11" s="436"/>
      <c r="BF11" s="436"/>
      <c r="BG11" s="436"/>
      <c r="BH11" s="436"/>
      <c r="BI11" s="1071">
        <v>0</v>
      </c>
    </row>
    <row r="12" spans="1:61" ht="11.25" hidden="1" customHeight="1">
      <c r="A12" s="1279"/>
      <c r="B12" s="1279"/>
      <c r="C12" s="1279"/>
      <c r="D12" s="1279"/>
      <c r="E12" s="2564"/>
      <c r="F12" s="2564"/>
      <c r="G12" s="2564"/>
      <c r="H12" s="2564"/>
      <c r="I12" s="2566"/>
      <c r="J12" s="2566"/>
      <c r="K12" s="2565"/>
      <c r="L12" s="1280"/>
      <c r="P12" s="2567"/>
      <c r="Q12" s="2567"/>
      <c r="R12" s="2623"/>
      <c r="S12" s="2622"/>
      <c r="T12" s="2642"/>
      <c r="U12" s="237"/>
      <c r="V12" s="1309"/>
      <c r="W12" s="1310" t="str">
        <f>Z8&amp;"-"&amp;AB8</f>
        <v>-</v>
      </c>
      <c r="X12" s="1309"/>
      <c r="Y12" s="1310" t="str">
        <f>AB8&amp;"-"&amp;AD8</f>
        <v>-да</v>
      </c>
      <c r="Z12" s="1309"/>
      <c r="AA12" s="1309"/>
      <c r="AB12" s="1309"/>
      <c r="AC12" s="1309"/>
      <c r="AD12" s="2450"/>
      <c r="AE12" s="249"/>
      <c r="AF12" s="251"/>
      <c r="AG12" s="352" t="s">
        <v>504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587"/>
      <c r="BE12" s="436"/>
      <c r="BF12" s="436" t="str">
        <f t="shared" ref="BF12:BF18" si="1">IF(T12="","",T12)</f>
        <v/>
      </c>
      <c r="BG12" s="436"/>
      <c r="BH12" s="436"/>
      <c r="BI12" s="1071">
        <v>0</v>
      </c>
    </row>
    <row r="13" spans="1:61" ht="11.25" hidden="1" customHeight="1">
      <c r="A13" s="1279"/>
      <c r="B13" s="1279"/>
      <c r="C13" s="1279"/>
      <c r="D13" s="1279"/>
      <c r="E13" s="2564"/>
      <c r="F13" s="2564"/>
      <c r="G13" s="2564"/>
      <c r="H13" s="2564"/>
      <c r="I13" s="2566"/>
      <c r="J13" s="2565"/>
      <c r="K13" s="1279"/>
      <c r="L13" s="1280"/>
      <c r="P13" s="2567"/>
      <c r="Q13" s="2567"/>
      <c r="R13" s="292"/>
      <c r="S13" s="1194"/>
      <c r="T13" s="224" t="s">
        <v>467</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8"/>
      <c r="BE13" s="436"/>
      <c r="BF13" s="436" t="str">
        <f t="shared" si="1"/>
        <v>Добавить строку</v>
      </c>
      <c r="BG13" s="436"/>
      <c r="BH13" s="436"/>
      <c r="BI13" s="1071">
        <v>0</v>
      </c>
    </row>
    <row r="14" spans="1:61" s="2344" customFormat="1" ht="14.25" hidden="1" customHeight="1">
      <c r="A14" s="1259"/>
      <c r="B14" s="1259"/>
      <c r="C14" s="1259"/>
      <c r="D14" s="1259"/>
      <c r="E14" s="2564"/>
      <c r="F14" s="2564"/>
      <c r="G14" s="2564"/>
      <c r="H14" s="2564"/>
      <c r="I14" s="2565"/>
      <c r="J14" s="1259"/>
      <c r="K14" s="1259"/>
      <c r="L14" s="1262"/>
      <c r="M14" s="446"/>
      <c r="N14" s="446"/>
      <c r="O14" s="446"/>
      <c r="P14" s="2567"/>
      <c r="Q14" s="1397"/>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344" customFormat="1" ht="14.25" hidden="1" customHeight="1">
      <c r="A15" s="1259"/>
      <c r="B15" s="1259"/>
      <c r="C15" s="1259"/>
      <c r="D15" s="1259"/>
      <c r="E15" s="2564"/>
      <c r="F15" s="2564"/>
      <c r="G15" s="2564"/>
      <c r="H15" s="2563"/>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344" customFormat="1" ht="14.25" hidden="1" customHeight="1">
      <c r="A16" s="1259"/>
      <c r="B16" s="1259"/>
      <c r="C16" s="1259"/>
      <c r="D16" s="1230"/>
      <c r="E16" s="2564"/>
      <c r="F16" s="2564"/>
      <c r="G16" s="2563"/>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344" customFormat="1" ht="14.25" hidden="1" customHeight="1">
      <c r="A17" s="1259"/>
      <c r="B17" s="1259"/>
      <c r="C17" s="1230"/>
      <c r="D17" s="1230"/>
      <c r="E17" s="2564"/>
      <c r="F17" s="2563"/>
      <c r="G17" s="1230"/>
      <c r="H17" s="1230"/>
      <c r="I17" s="1230"/>
      <c r="J17" s="1230"/>
      <c r="K17" s="1230"/>
      <c r="L17" s="1410"/>
      <c r="M17" s="1237"/>
      <c r="N17" s="1237"/>
      <c r="P17" s="1232"/>
      <c r="Q17" s="1233"/>
      <c r="R17" s="1232"/>
      <c r="S17" s="1238"/>
      <c r="T17" s="1241" t="s">
        <v>414</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344" customFormat="1" ht="14.25" hidden="1" customHeight="1">
      <c r="A18" s="1259"/>
      <c r="B18" s="1259"/>
      <c r="C18" s="1259"/>
      <c r="D18" s="1259"/>
      <c r="E18" s="2563"/>
      <c r="F18" s="1259"/>
      <c r="G18" s="1259"/>
      <c r="H18" s="1259"/>
      <c r="I18" s="1259"/>
      <c r="J18" s="1259"/>
      <c r="K18" s="1259"/>
      <c r="L18" s="1262"/>
      <c r="M18" s="1237"/>
      <c r="N18" s="1237"/>
      <c r="O18" s="454"/>
      <c r="P18" s="316"/>
      <c r="Q18" s="1260"/>
      <c r="R18" s="316"/>
      <c r="S18" s="1238"/>
      <c r="T18" s="1241" t="s">
        <v>415</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401" t="s">
        <v>62</v>
      </c>
      <c r="AZ20" s="1651"/>
      <c r="BA20" s="1401" t="s">
        <v>62</v>
      </c>
      <c r="BI20" s="1071">
        <v>0</v>
      </c>
    </row>
    <row r="21" spans="1:61" ht="14.25" hidden="1" customHeight="1">
      <c r="BD21" s="432"/>
      <c r="BE21" s="432"/>
      <c r="BF21" s="432"/>
      <c r="BG21" s="432"/>
      <c r="BH21" s="432"/>
      <c r="BI21" s="1071">
        <v>0</v>
      </c>
    </row>
    <row r="22" spans="1:61" ht="14.25" hidden="1" customHeight="1">
      <c r="O22" s="1283" t="s">
        <v>416</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338" customFormat="1" ht="14.25" hidden="1" customHeight="1">
      <c r="M24" s="1424"/>
      <c r="N24" s="1424"/>
      <c r="O24" s="1425" t="s">
        <v>417</v>
      </c>
      <c r="P24" s="1424"/>
      <c r="Q24" s="1426"/>
      <c r="R24" s="1426"/>
      <c r="AA24" s="1423" t="s">
        <v>419</v>
      </c>
      <c r="AC24" s="1423" t="s">
        <v>420</v>
      </c>
      <c r="AD24" s="1423" t="s">
        <v>468</v>
      </c>
      <c r="AH24" s="1423" t="s">
        <v>468</v>
      </c>
      <c r="AK24" s="1423" t="s">
        <v>505</v>
      </c>
      <c r="AL24" s="1423" t="s">
        <v>468</v>
      </c>
      <c r="AP24" s="1423" t="s">
        <v>468</v>
      </c>
      <c r="AY24" s="1423" t="s">
        <v>419</v>
      </c>
      <c r="BA24" s="1423" t="s">
        <v>420</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4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9"/>
      <c r="BI28" s="1071">
        <v>14</v>
      </c>
    </row>
    <row r="29" spans="1:61" ht="14.65" customHeight="1">
      <c r="Q29" s="228"/>
      <c r="R29" s="312"/>
      <c r="S29" s="2516" t="str">
        <f>IF(org=0,"Не определено",org)</f>
        <v>ООО "Пятигорсктеплосервис"</v>
      </c>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c r="AS29" s="2516"/>
      <c r="AT29" s="2516"/>
      <c r="AU29" s="2516"/>
      <c r="AV29" s="2516"/>
      <c r="AW29" s="2516"/>
      <c r="AX29" s="2516"/>
      <c r="AY29" s="2516"/>
      <c r="AZ29" s="2516"/>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380" customFormat="1" ht="25.5" hidden="1" customHeight="1">
      <c r="A31" s="1284"/>
      <c r="B31" s="1284"/>
      <c r="C31" s="1284"/>
      <c r="D31" s="1284"/>
      <c r="E31" s="1284"/>
      <c r="F31" s="1284"/>
      <c r="G31" s="1284"/>
      <c r="H31" s="1284"/>
      <c r="I31" s="1284"/>
      <c r="J31" s="1284"/>
      <c r="K31" s="1284"/>
      <c r="L31" s="1285"/>
      <c r="M31" s="1284"/>
      <c r="N31" s="1284"/>
      <c r="O31" s="1284"/>
      <c r="P31" s="1284"/>
      <c r="Q31" s="1284"/>
      <c r="S31" s="2554" t="s">
        <v>41</v>
      </c>
      <c r="T31" s="2554"/>
      <c r="U31" s="1288"/>
      <c r="V31" s="2556" t="str">
        <f>IF(TITLE_NAME_OR_PR_CHANGE="",IF(TITLE_NAME_OR_PR="","",TITLE_NAME_OR_PR),TITLE_NAME_OR_PR_CHANGE)</f>
        <v/>
      </c>
      <c r="W31" s="2556"/>
      <c r="X31" s="2556"/>
      <c r="Y31" s="2556"/>
      <c r="Z31" s="2556"/>
      <c r="AA31" s="2556"/>
      <c r="AB31" s="2556"/>
      <c r="AC31" s="263"/>
      <c r="AD31" s="2556" t="str">
        <f>IF(TITLE_NAME_OR_PR_CHANGE="",IF(TITLE_NAME_OR_PR="","",TITLE_NAME_OR_PR),TITLE_NAME_OR_PR_CHANGE)</f>
        <v/>
      </c>
      <c r="AE31" s="2556"/>
      <c r="AF31" s="2556"/>
      <c r="AG31" s="2556"/>
      <c r="AH31" s="2556"/>
      <c r="AI31" s="2556"/>
      <c r="AJ31" s="2556"/>
      <c r="AK31" s="2556"/>
      <c r="AL31" s="2556"/>
      <c r="AM31" s="2556"/>
      <c r="AN31" s="2556"/>
      <c r="AO31" s="2556"/>
      <c r="AP31" s="2556"/>
      <c r="AQ31" s="2556"/>
      <c r="AR31" s="2556"/>
      <c r="AS31" s="2556"/>
      <c r="AT31" s="2556"/>
      <c r="AU31" s="2556"/>
      <c r="AV31" s="2556"/>
      <c r="AW31" s="2556"/>
      <c r="AX31" s="2556"/>
      <c r="AY31" s="2556"/>
      <c r="AZ31" s="2556"/>
      <c r="BA31" s="263"/>
      <c r="BB31" s="263"/>
      <c r="BC31" s="217"/>
      <c r="BD31" s="304"/>
      <c r="BE31" s="304"/>
      <c r="BF31" s="304"/>
      <c r="BG31" s="304"/>
      <c r="BH31" s="304"/>
      <c r="BI31" s="354">
        <v>0</v>
      </c>
    </row>
    <row r="32" spans="1:61" s="2380" customFormat="1" ht="18.75" hidden="1" customHeight="1">
      <c r="A32" s="1284"/>
      <c r="B32" s="1284"/>
      <c r="C32" s="1284"/>
      <c r="D32" s="1284"/>
      <c r="E32" s="1284"/>
      <c r="F32" s="1284"/>
      <c r="G32" s="1284"/>
      <c r="H32" s="1284"/>
      <c r="I32" s="1284"/>
      <c r="J32" s="1284"/>
      <c r="K32" s="1284"/>
      <c r="L32" s="1285"/>
      <c r="M32" s="1284"/>
      <c r="N32" s="1284"/>
      <c r="O32" s="1284"/>
      <c r="P32" s="1284"/>
      <c r="Q32" s="1284"/>
      <c r="S32" s="2554" t="s">
        <v>422</v>
      </c>
      <c r="T32" s="2554"/>
      <c r="U32" s="1288"/>
      <c r="V32" s="2555" t="str">
        <f>IF(TITLE_DATE_PR_CHANGE="",IF(TITLE_DATE_PR="","",TITLE_DATE_PR),TITLE_DATE_PR_CHANGE)</f>
        <v/>
      </c>
      <c r="W32" s="2555"/>
      <c r="X32" s="2555"/>
      <c r="Y32" s="2555"/>
      <c r="Z32" s="2555"/>
      <c r="AA32" s="2555"/>
      <c r="AB32" s="2555"/>
      <c r="AC32" s="263"/>
      <c r="AD32" s="2555" t="str">
        <f>IF(TITLE_DATE_PR_CHANGE="",IF(TITLE_DATE_PR="","",TITLE_DATE_PR),TITLE_DATE_PR_CHANGE)</f>
        <v/>
      </c>
      <c r="AE32" s="2555"/>
      <c r="AF32" s="2555"/>
      <c r="AG32" s="2555"/>
      <c r="AH32" s="2555"/>
      <c r="AI32" s="2555"/>
      <c r="AJ32" s="2555"/>
      <c r="AK32" s="2555"/>
      <c r="AL32" s="2555"/>
      <c r="AM32" s="2555"/>
      <c r="AN32" s="2555"/>
      <c r="AO32" s="2555"/>
      <c r="AP32" s="2555"/>
      <c r="AQ32" s="2555"/>
      <c r="AR32" s="2555"/>
      <c r="AS32" s="2555"/>
      <c r="AT32" s="2555"/>
      <c r="AU32" s="2555"/>
      <c r="AV32" s="2555"/>
      <c r="AW32" s="2555"/>
      <c r="AX32" s="2555"/>
      <c r="AY32" s="2555"/>
      <c r="AZ32" s="2555"/>
      <c r="BA32" s="263"/>
      <c r="BB32" s="263"/>
      <c r="BC32" s="217"/>
      <c r="BD32" s="304"/>
      <c r="BE32" s="304"/>
      <c r="BF32" s="304"/>
      <c r="BG32" s="304"/>
      <c r="BH32" s="304"/>
      <c r="BI32" s="354">
        <v>0</v>
      </c>
    </row>
    <row r="33" spans="1:61" s="2380" customFormat="1" ht="18.75" hidden="1" customHeight="1">
      <c r="A33" s="1284"/>
      <c r="B33" s="1284"/>
      <c r="C33" s="1284"/>
      <c r="D33" s="1284"/>
      <c r="E33" s="1284"/>
      <c r="F33" s="1284"/>
      <c r="G33" s="1284"/>
      <c r="H33" s="1284"/>
      <c r="I33" s="1284"/>
      <c r="J33" s="1284"/>
      <c r="K33" s="1284"/>
      <c r="L33" s="1285"/>
      <c r="M33" s="1284"/>
      <c r="N33" s="1284"/>
      <c r="O33" s="1284"/>
      <c r="P33" s="1284"/>
      <c r="Q33" s="1284"/>
      <c r="S33" s="2554" t="s">
        <v>423</v>
      </c>
      <c r="T33" s="2554"/>
      <c r="U33" s="1288"/>
      <c r="V33" s="2556" t="str">
        <f>IF(TITLE_NUMBER_PR_CHANGE="",IF(TITLE_NUMBER_PR="","",TITLE_NUMBER_PR),TITLE_NUMBER_PR_CHANGE)</f>
        <v/>
      </c>
      <c r="W33" s="2556"/>
      <c r="X33" s="2556"/>
      <c r="Y33" s="2556"/>
      <c r="Z33" s="2556"/>
      <c r="AA33" s="2556"/>
      <c r="AB33" s="2556"/>
      <c r="AC33" s="263"/>
      <c r="AD33" s="2556" t="str">
        <f>IF(TITLE_NUMBER_PR_CHANGE="",IF(TITLE_NUMBER_PR="","",TITLE_NUMBER_PR),TITLE_NUMBER_PR_CHANGE)</f>
        <v/>
      </c>
      <c r="AE33" s="2556"/>
      <c r="AF33" s="2556"/>
      <c r="AG33" s="2556"/>
      <c r="AH33" s="2556"/>
      <c r="AI33" s="2556"/>
      <c r="AJ33" s="2556"/>
      <c r="AK33" s="2556"/>
      <c r="AL33" s="2556"/>
      <c r="AM33" s="2556"/>
      <c r="AN33" s="2556"/>
      <c r="AO33" s="2556"/>
      <c r="AP33" s="2556"/>
      <c r="AQ33" s="2556"/>
      <c r="AR33" s="2556"/>
      <c r="AS33" s="2556"/>
      <c r="AT33" s="2556"/>
      <c r="AU33" s="2556"/>
      <c r="AV33" s="2556"/>
      <c r="AW33" s="2556"/>
      <c r="AX33" s="2556"/>
      <c r="AY33" s="2556"/>
      <c r="AZ33" s="2556"/>
      <c r="BA33" s="263"/>
      <c r="BB33" s="263"/>
      <c r="BC33" s="217"/>
      <c r="BD33" s="304"/>
      <c r="BE33" s="304"/>
      <c r="BF33" s="304"/>
      <c r="BG33" s="304"/>
      <c r="BH33" s="304"/>
      <c r="BI33" s="354">
        <v>0</v>
      </c>
    </row>
    <row r="34" spans="1:61" s="2380" customFormat="1" ht="18.75" hidden="1" customHeight="1">
      <c r="A34" s="1284"/>
      <c r="B34" s="1284"/>
      <c r="C34" s="1284"/>
      <c r="D34" s="1284"/>
      <c r="E34" s="1284"/>
      <c r="F34" s="1284"/>
      <c r="G34" s="1284"/>
      <c r="H34" s="1284"/>
      <c r="I34" s="1284"/>
      <c r="J34" s="1284"/>
      <c r="K34" s="1284"/>
      <c r="L34" s="1285"/>
      <c r="M34" s="1284"/>
      <c r="N34" s="1284"/>
      <c r="O34" s="1284"/>
      <c r="P34" s="1284"/>
      <c r="Q34" s="1284"/>
      <c r="S34" s="2554" t="s">
        <v>42</v>
      </c>
      <c r="T34" s="2554"/>
      <c r="U34" s="1288"/>
      <c r="V34" s="2556" t="str">
        <f>IF(TITLE_IST_PUB_CHANGE="",IF(TITLE_IST_PUB="","",TITLE_IST_PUB),TITLE_IST_PUB_CHANGE)</f>
        <v/>
      </c>
      <c r="W34" s="2556"/>
      <c r="X34" s="2556"/>
      <c r="Y34" s="2556"/>
      <c r="Z34" s="2556"/>
      <c r="AA34" s="2556"/>
      <c r="AB34" s="2556"/>
      <c r="AC34" s="263"/>
      <c r="AD34" s="2556" t="str">
        <f>IF(TITLE_IST_PUB_CHANGE="",IF(TITLE_IST_PUB="","",TITLE_IST_PUB),TITLE_IST_PUB_CHANGE)</f>
        <v/>
      </c>
      <c r="AE34" s="2556"/>
      <c r="AF34" s="2556"/>
      <c r="AG34" s="2556"/>
      <c r="AH34" s="2556"/>
      <c r="AI34" s="2556"/>
      <c r="AJ34" s="2556"/>
      <c r="AK34" s="2556"/>
      <c r="AL34" s="2556"/>
      <c r="AM34" s="2556"/>
      <c r="AN34" s="2556"/>
      <c r="AO34" s="2556"/>
      <c r="AP34" s="2556"/>
      <c r="AQ34" s="2556"/>
      <c r="AR34" s="2556"/>
      <c r="AS34" s="2556"/>
      <c r="AT34" s="2556"/>
      <c r="AU34" s="2556"/>
      <c r="AV34" s="2556"/>
      <c r="AW34" s="2556"/>
      <c r="AX34" s="2556"/>
      <c r="AY34" s="2556"/>
      <c r="AZ34" s="2556"/>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380" customFormat="1" ht="18.75" hidden="1" customHeight="1">
      <c r="A36" s="1284"/>
      <c r="B36" s="1284"/>
      <c r="C36" s="1284"/>
      <c r="D36" s="1284"/>
      <c r="E36" s="1284"/>
      <c r="F36" s="1284"/>
      <c r="G36" s="1284"/>
      <c r="H36" s="1284"/>
      <c r="I36" s="1284"/>
      <c r="J36" s="1284"/>
      <c r="K36" s="1284"/>
      <c r="L36" s="1285"/>
      <c r="M36" s="1284"/>
      <c r="N36" s="1284"/>
      <c r="O36" s="1284"/>
      <c r="P36" s="1284"/>
      <c r="Q36" s="1284"/>
      <c r="S36" s="2554" t="s">
        <v>422</v>
      </c>
      <c r="T36" s="2554"/>
      <c r="U36" s="1288"/>
      <c r="V36" s="2555" t="str">
        <f>IF(TITLE_DATE_PR_CHANGE="",IF(TITLE_DATE_PR="","",TITLE_DATE_PR),TITLE_DATE_PR_CHANGE)</f>
        <v/>
      </c>
      <c r="W36" s="2555"/>
      <c r="X36" s="2555"/>
      <c r="Y36" s="2555"/>
      <c r="Z36" s="2555"/>
      <c r="AA36" s="2555"/>
      <c r="AB36" s="2555"/>
      <c r="AC36" s="263"/>
      <c r="AD36" s="2555" t="str">
        <f>IF(TITLE_DATE_PR_CHANGE="",IF(TITLE_DATE_PR="","",TITLE_DATE_PR),TITLE_DATE_PR_CHANGE)</f>
        <v/>
      </c>
      <c r="AE36" s="2555"/>
      <c r="AF36" s="2555"/>
      <c r="AG36" s="2555"/>
      <c r="AH36" s="2555"/>
      <c r="AI36" s="2555"/>
      <c r="AJ36" s="2555"/>
      <c r="AK36" s="2555"/>
      <c r="AL36" s="2555"/>
      <c r="AM36" s="2555"/>
      <c r="AN36" s="2555"/>
      <c r="AO36" s="2555"/>
      <c r="AP36" s="2555"/>
      <c r="AQ36" s="2555"/>
      <c r="AR36" s="2555"/>
      <c r="AS36" s="2555"/>
      <c r="AT36" s="2555"/>
      <c r="AU36" s="2555"/>
      <c r="AV36" s="2555"/>
      <c r="AW36" s="2555"/>
      <c r="AX36" s="2555"/>
      <c r="AY36" s="2555"/>
      <c r="AZ36" s="2555"/>
      <c r="BA36" s="263"/>
      <c r="BB36" s="263"/>
      <c r="BC36" s="217"/>
      <c r="BD36" s="304"/>
      <c r="BE36" s="304"/>
      <c r="BF36" s="304"/>
      <c r="BG36" s="304"/>
      <c r="BH36" s="304"/>
      <c r="BI36" s="354">
        <v>0</v>
      </c>
    </row>
    <row r="37" spans="1:61" s="2380" customFormat="1" ht="18.75" hidden="1" customHeight="1">
      <c r="A37" s="1284"/>
      <c r="B37" s="1284"/>
      <c r="C37" s="1284"/>
      <c r="D37" s="1284"/>
      <c r="E37" s="1284"/>
      <c r="F37" s="1284"/>
      <c r="G37" s="1284"/>
      <c r="H37" s="1284"/>
      <c r="I37" s="1284"/>
      <c r="J37" s="1284"/>
      <c r="K37" s="1284"/>
      <c r="L37" s="1285"/>
      <c r="M37" s="1284"/>
      <c r="N37" s="1284"/>
      <c r="O37" s="1284"/>
      <c r="P37" s="1284"/>
      <c r="Q37" s="1284"/>
      <c r="S37" s="2554" t="s">
        <v>423</v>
      </c>
      <c r="T37" s="2554"/>
      <c r="U37" s="1288"/>
      <c r="V37" s="2556" t="str">
        <f>IF(TITLE_NUMBER_PR_CHANGE="",IF(TITLE_NUMBER_PR="","",TITLE_NUMBER_PR),TITLE_NUMBER_PR_CHANGE)</f>
        <v/>
      </c>
      <c r="W37" s="2556"/>
      <c r="X37" s="2556"/>
      <c r="Y37" s="2556"/>
      <c r="Z37" s="2556"/>
      <c r="AA37" s="2556"/>
      <c r="AB37" s="2556"/>
      <c r="AC37" s="263"/>
      <c r="AD37" s="2556" t="str">
        <f>IF(TITLE_NUMBER_PR_CHANGE="",IF(TITLE_NUMBER_PR="","",TITLE_NUMBER_PR),TITLE_NUMBER_PR_CHANGE)</f>
        <v/>
      </c>
      <c r="AE37" s="2556"/>
      <c r="AF37" s="2556"/>
      <c r="AG37" s="2556"/>
      <c r="AH37" s="2556"/>
      <c r="AI37" s="2556"/>
      <c r="AJ37" s="2556"/>
      <c r="AK37" s="2556"/>
      <c r="AL37" s="2556"/>
      <c r="AM37" s="2556"/>
      <c r="AN37" s="2556"/>
      <c r="AO37" s="2556"/>
      <c r="AP37" s="2556"/>
      <c r="AQ37" s="2556"/>
      <c r="AR37" s="2556"/>
      <c r="AS37" s="2556"/>
      <c r="AT37" s="2556"/>
      <c r="AU37" s="2556"/>
      <c r="AV37" s="2556"/>
      <c r="AW37" s="2556"/>
      <c r="AX37" s="2556"/>
      <c r="AY37" s="2556"/>
      <c r="AZ37" s="2556"/>
      <c r="BA37" s="263"/>
      <c r="BB37" s="263"/>
      <c r="BC37" s="217"/>
      <c r="BD37" s="304"/>
      <c r="BE37" s="304"/>
      <c r="BF37" s="304"/>
      <c r="BG37" s="304"/>
      <c r="BH37" s="304"/>
      <c r="BI37" s="354">
        <v>0</v>
      </c>
    </row>
    <row r="38" spans="1:61" s="2380"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40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1"/>
      <c r="T39" s="299"/>
      <c r="U39" s="1160"/>
      <c r="V39" s="2575"/>
      <c r="W39" s="2575"/>
      <c r="X39" s="2575"/>
      <c r="Y39" s="2575"/>
      <c r="Z39" s="2575"/>
      <c r="AA39" s="2575"/>
      <c r="AB39" s="2575"/>
      <c r="AC39" s="2575"/>
      <c r="AD39" s="2575"/>
      <c r="AE39" s="2575"/>
      <c r="AF39" s="2575"/>
      <c r="AG39" s="2575"/>
      <c r="AH39" s="2575"/>
      <c r="AI39" s="2575"/>
      <c r="AJ39" s="2575"/>
      <c r="AK39" s="2575"/>
      <c r="AL39" s="2575"/>
      <c r="AM39" s="2575"/>
      <c r="AN39" s="2575"/>
      <c r="AO39" s="2575"/>
      <c r="AP39" s="2575"/>
      <c r="AQ39" s="2575"/>
      <c r="AR39" s="2575"/>
      <c r="AS39" s="2575"/>
      <c r="AT39" s="2575"/>
      <c r="AU39" s="2575"/>
      <c r="AV39" s="2575"/>
      <c r="AW39" s="2575"/>
      <c r="AX39" s="2575"/>
      <c r="AY39" s="2575"/>
      <c r="AZ39" s="2575"/>
      <c r="BA39" s="2575"/>
      <c r="BI39" s="1071">
        <v>14</v>
      </c>
    </row>
    <row r="40" spans="1:61" ht="14.65" customHeight="1">
      <c r="Q40" s="228"/>
      <c r="R40" s="312"/>
      <c r="S40" s="2435" t="s">
        <v>299</v>
      </c>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c r="AS40" s="2435"/>
      <c r="AT40" s="2435"/>
      <c r="AU40" s="2435"/>
      <c r="AV40" s="2435"/>
      <c r="AW40" s="2435"/>
      <c r="AX40" s="2435"/>
      <c r="AY40" s="2435"/>
      <c r="AZ40" s="2435"/>
      <c r="BA40" s="2435"/>
      <c r="BB40" s="2435"/>
      <c r="BC40" s="2435" t="s">
        <v>300</v>
      </c>
      <c r="BI40" s="1071">
        <v>14</v>
      </c>
    </row>
    <row r="41" spans="1:61" ht="14.65" customHeight="1">
      <c r="Q41" s="228"/>
      <c r="R41" s="312"/>
      <c r="S41" s="2576" t="s">
        <v>88</v>
      </c>
      <c r="T41" s="2524" t="s">
        <v>506</v>
      </c>
      <c r="U41" s="238"/>
      <c r="V41" s="2577" t="s">
        <v>428</v>
      </c>
      <c r="W41" s="2578"/>
      <c r="X41" s="2578"/>
      <c r="Y41" s="2578"/>
      <c r="Z41" s="2578"/>
      <c r="AA41" s="2578"/>
      <c r="AB41" s="2579"/>
      <c r="AC41" s="2580" t="s">
        <v>429</v>
      </c>
      <c r="AD41" s="2609" t="s">
        <v>523</v>
      </c>
      <c r="AE41" s="2593"/>
      <c r="AF41" s="2593"/>
      <c r="AG41" s="2610"/>
      <c r="AH41" s="2609" t="s">
        <v>524</v>
      </c>
      <c r="AI41" s="2593"/>
      <c r="AJ41" s="2593"/>
      <c r="AK41" s="2610"/>
      <c r="AL41" s="2609" t="s">
        <v>525</v>
      </c>
      <c r="AM41" s="2593"/>
      <c r="AN41" s="2593"/>
      <c r="AO41" s="2610"/>
      <c r="AP41" s="2609" t="s">
        <v>510</v>
      </c>
      <c r="AQ41" s="2593"/>
      <c r="AR41" s="2593"/>
      <c r="AS41" s="2610"/>
      <c r="AT41" s="2577" t="s">
        <v>428</v>
      </c>
      <c r="AU41" s="2578"/>
      <c r="AV41" s="2578"/>
      <c r="AW41" s="2578"/>
      <c r="AX41" s="2578"/>
      <c r="AY41" s="2578"/>
      <c r="AZ41" s="2579"/>
      <c r="BA41" s="2580" t="s">
        <v>429</v>
      </c>
      <c r="BB41" s="2583" t="s">
        <v>431</v>
      </c>
      <c r="BC41" s="2435"/>
      <c r="BI41" s="1071">
        <v>14</v>
      </c>
    </row>
    <row r="42" spans="1:61" ht="35.65" customHeight="1">
      <c r="Q42" s="228"/>
      <c r="R42" s="312"/>
      <c r="S42" s="2576"/>
      <c r="T42" s="2524"/>
      <c r="U42" s="953"/>
      <c r="V42" s="2495" t="s">
        <v>511</v>
      </c>
      <c r="W42" s="2496"/>
      <c r="X42" s="2495" t="s">
        <v>512</v>
      </c>
      <c r="Y42" s="2496"/>
      <c r="Z42" s="2495" t="s">
        <v>513</v>
      </c>
      <c r="AA42" s="2605"/>
      <c r="AB42" s="2496"/>
      <c r="AC42" s="2581"/>
      <c r="AD42" s="2611"/>
      <c r="AE42" s="2612"/>
      <c r="AF42" s="2612"/>
      <c r="AG42" s="2624"/>
      <c r="AH42" s="2611"/>
      <c r="AI42" s="2612"/>
      <c r="AJ42" s="2612"/>
      <c r="AK42" s="2624"/>
      <c r="AL42" s="2611"/>
      <c r="AM42" s="2612"/>
      <c r="AN42" s="2612"/>
      <c r="AO42" s="2624"/>
      <c r="AP42" s="2611"/>
      <c r="AQ42" s="2612"/>
      <c r="AR42" s="2612"/>
      <c r="AS42" s="2624"/>
      <c r="AT42" s="2495" t="s">
        <v>526</v>
      </c>
      <c r="AU42" s="2496"/>
      <c r="AV42" s="2495" t="s">
        <v>527</v>
      </c>
      <c r="AW42" s="2496"/>
      <c r="AX42" s="2495" t="s">
        <v>513</v>
      </c>
      <c r="AY42" s="2605"/>
      <c r="AZ42" s="2496"/>
      <c r="BA42" s="2581"/>
      <c r="BB42" s="2584"/>
      <c r="BC42" s="2435"/>
      <c r="BI42" s="1071">
        <v>34</v>
      </c>
    </row>
    <row r="43" spans="1:61" ht="14.65" customHeight="1">
      <c r="Q43" s="228"/>
      <c r="R43" s="312"/>
      <c r="S43" s="2576"/>
      <c r="T43" s="2524"/>
      <c r="U43" s="953"/>
      <c r="V43" s="2500"/>
      <c r="W43" s="2501"/>
      <c r="X43" s="2500"/>
      <c r="Y43" s="2501"/>
      <c r="Z43" s="2500"/>
      <c r="AA43" s="2606"/>
      <c r="AB43" s="2501"/>
      <c r="AC43" s="2581"/>
      <c r="AD43" s="2611"/>
      <c r="AE43" s="2612"/>
      <c r="AF43" s="2612"/>
      <c r="AG43" s="2624"/>
      <c r="AH43" s="2611"/>
      <c r="AI43" s="2612"/>
      <c r="AJ43" s="2612"/>
      <c r="AK43" s="2624"/>
      <c r="AL43" s="2611"/>
      <c r="AM43" s="2612"/>
      <c r="AN43" s="2612"/>
      <c r="AO43" s="2624"/>
      <c r="AP43" s="2611"/>
      <c r="AQ43" s="2612"/>
      <c r="AR43" s="2612"/>
      <c r="AS43" s="2624"/>
      <c r="AT43" s="2500"/>
      <c r="AU43" s="2501"/>
      <c r="AV43" s="2500"/>
      <c r="AW43" s="2501"/>
      <c r="AX43" s="2500"/>
      <c r="AY43" s="2606"/>
      <c r="AZ43" s="2501"/>
      <c r="BA43" s="2581"/>
      <c r="BB43" s="2584"/>
      <c r="BC43" s="2435"/>
      <c r="BI43" s="1071">
        <v>14</v>
      </c>
    </row>
    <row r="44" spans="1:61" ht="14.65" customHeight="1">
      <c r="A44" s="1286"/>
      <c r="B44" s="1286" t="s">
        <v>136</v>
      </c>
      <c r="C44" s="1286" t="s">
        <v>137</v>
      </c>
      <c r="D44" s="1286" t="s">
        <v>138</v>
      </c>
      <c r="E44" s="1280" t="s">
        <v>436</v>
      </c>
      <c r="F44" s="1280" t="s">
        <v>437</v>
      </c>
      <c r="G44" s="1280" t="s">
        <v>438</v>
      </c>
      <c r="H44" s="1280" t="s">
        <v>439</v>
      </c>
      <c r="I44" s="1280" t="s">
        <v>440</v>
      </c>
      <c r="J44" s="1280" t="s">
        <v>441</v>
      </c>
      <c r="K44" s="1280" t="s">
        <v>442</v>
      </c>
      <c r="L44" s="1280" t="s">
        <v>417</v>
      </c>
      <c r="Q44" s="228"/>
      <c r="R44" s="312"/>
      <c r="S44" s="2576"/>
      <c r="T44" s="2524"/>
      <c r="U44" s="239"/>
      <c r="V44" s="1395" t="s">
        <v>477</v>
      </c>
      <c r="W44" s="1395" t="s">
        <v>478</v>
      </c>
      <c r="X44" s="1395" t="s">
        <v>477</v>
      </c>
      <c r="Y44" s="1395" t="s">
        <v>478</v>
      </c>
      <c r="Z44" s="1405" t="s">
        <v>445</v>
      </c>
      <c r="AA44" s="2529" t="s">
        <v>446</v>
      </c>
      <c r="AB44" s="2543"/>
      <c r="AC44" s="2582"/>
      <c r="AD44" s="2613"/>
      <c r="AE44" s="2614"/>
      <c r="AF44" s="2614"/>
      <c r="AG44" s="2615"/>
      <c r="AH44" s="2613"/>
      <c r="AI44" s="2614"/>
      <c r="AJ44" s="2614"/>
      <c r="AK44" s="2615"/>
      <c r="AL44" s="2613"/>
      <c r="AM44" s="2614"/>
      <c r="AN44" s="2614"/>
      <c r="AO44" s="2615"/>
      <c r="AP44" s="2613"/>
      <c r="AQ44" s="2614"/>
      <c r="AR44" s="2614"/>
      <c r="AS44" s="2615"/>
      <c r="AT44" s="1395" t="s">
        <v>477</v>
      </c>
      <c r="AU44" s="1395" t="s">
        <v>478</v>
      </c>
      <c r="AV44" s="1395" t="s">
        <v>477</v>
      </c>
      <c r="AW44" s="1395" t="s">
        <v>478</v>
      </c>
      <c r="AX44" s="1405" t="s">
        <v>445</v>
      </c>
      <c r="AY44" s="2529" t="s">
        <v>446</v>
      </c>
      <c r="AZ44" s="2543"/>
      <c r="BA44" s="2582"/>
      <c r="BB44" s="2585"/>
      <c r="BC44" s="2435"/>
      <c r="BI44" s="1071">
        <v>14</v>
      </c>
    </row>
    <row r="45" spans="1:61" s="2335" customFormat="1" ht="11.25"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109</v>
      </c>
      <c r="T45" s="1171" t="s">
        <v>110</v>
      </c>
      <c r="U45" s="1161" t="str">
        <f ca="1">OFFSET(U45,0,-1)</f>
        <v>2</v>
      </c>
      <c r="V45" s="1398">
        <f t="shared" ref="V45:AA45" ca="1" si="2">OFFSET(V45,0,-1)+1</f>
        <v>3</v>
      </c>
      <c r="W45" s="1398">
        <f t="shared" ca="1" si="2"/>
        <v>4</v>
      </c>
      <c r="X45" s="1398">
        <f t="shared" ca="1" si="2"/>
        <v>5</v>
      </c>
      <c r="Y45" s="1398">
        <f t="shared" ca="1" si="2"/>
        <v>6</v>
      </c>
      <c r="Z45" s="1398">
        <f t="shared" ca="1" si="2"/>
        <v>7</v>
      </c>
      <c r="AA45" s="2574">
        <f t="shared" ca="1" si="2"/>
        <v>8</v>
      </c>
      <c r="AB45" s="2574"/>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574">
        <f ca="1">OFFSET(AY45,0,-1)+1</f>
        <v>3</v>
      </c>
      <c r="AZ45" s="2574"/>
      <c r="BA45" s="1398">
        <f ca="1">OFFSET(BA45,0,-2)+1</f>
        <v>4</v>
      </c>
      <c r="BB45" s="1161">
        <f ca="1">OFFSET(BB45,0,-1)</f>
        <v>4</v>
      </c>
      <c r="BC45" s="1398">
        <f ca="1">OFFSET(BC45,0,-1)+1</f>
        <v>5</v>
      </c>
      <c r="BD45" s="447"/>
      <c r="BE45" s="447"/>
      <c r="BF45" s="447"/>
      <c r="BG45" s="447"/>
      <c r="BH45" s="447"/>
      <c r="BI45" s="432">
        <v>0</v>
      </c>
    </row>
    <row r="46" spans="1:61" ht="21.95" customHeight="1">
      <c r="A46" s="1279" t="s">
        <v>275</v>
      </c>
      <c r="B46" s="1279"/>
      <c r="C46" s="1279"/>
      <c r="D46" s="1279"/>
      <c r="E46" s="2563">
        <v>1</v>
      </c>
      <c r="F46" s="1279"/>
      <c r="G46" s="1279"/>
      <c r="H46" s="1279"/>
      <c r="I46" s="1279"/>
      <c r="J46" s="1279"/>
      <c r="K46" s="1279"/>
      <c r="L46" s="1280"/>
      <c r="M46" s="1281"/>
      <c r="N46" s="1281"/>
      <c r="O46" s="1281"/>
      <c r="P46" s="1325"/>
      <c r="Q46" s="799"/>
      <c r="R46" s="291"/>
      <c r="S46" s="1409">
        <f>INDEX(PT_DIFFERENTIATION_NUM_NTAR,MATCH(A46,PT_DIFFERENTIATION_NTAR_ID,0))</f>
        <v>0</v>
      </c>
      <c r="T46" s="235" t="s">
        <v>124</v>
      </c>
      <c r="U46" s="237"/>
      <c r="V46" s="2558"/>
      <c r="W46" s="2558"/>
      <c r="X46" s="2558"/>
      <c r="Y46" s="2558"/>
      <c r="Z46" s="2558"/>
      <c r="AA46" s="2558"/>
      <c r="AB46" s="2558"/>
      <c r="AC46" s="2559"/>
      <c r="AD46" s="2557" t="str">
        <f>INDEX(PT_DIFFERENTIATION_NTAR,MATCH(A46,PT_DIFFERENTIATION_NTAR_ID,0))</f>
        <v/>
      </c>
      <c r="AE46" s="2558"/>
      <c r="AF46" s="2558"/>
      <c r="AG46" s="2558"/>
      <c r="AH46" s="2558"/>
      <c r="AI46" s="2558"/>
      <c r="AJ46" s="2558"/>
      <c r="AK46" s="2558"/>
      <c r="AL46" s="2558"/>
      <c r="AM46" s="2558"/>
      <c r="AN46" s="2558"/>
      <c r="AO46" s="2558"/>
      <c r="AP46" s="2558"/>
      <c r="AQ46" s="2558"/>
      <c r="AR46" s="2558"/>
      <c r="AS46" s="2558"/>
      <c r="AT46" s="2558"/>
      <c r="AU46" s="2558"/>
      <c r="AV46" s="2558"/>
      <c r="AW46" s="2558"/>
      <c r="AX46" s="2558"/>
      <c r="AY46" s="2558"/>
      <c r="AZ46" s="2558"/>
      <c r="BA46" s="2558"/>
      <c r="BB46" s="2559"/>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275</v>
      </c>
      <c r="B47" s="1279" t="s">
        <v>276</v>
      </c>
      <c r="C47" s="1279"/>
      <c r="D47" s="1279"/>
      <c r="E47" s="2564"/>
      <c r="F47" s="2563">
        <v>1</v>
      </c>
      <c r="G47" s="1279"/>
      <c r="H47" s="1279"/>
      <c r="I47" s="1279"/>
      <c r="J47" s="1279"/>
      <c r="K47" s="1279"/>
      <c r="L47" s="1280"/>
      <c r="M47" s="1281"/>
      <c r="N47" s="1281"/>
      <c r="O47" s="1281"/>
      <c r="P47" s="1326"/>
      <c r="Q47" s="1327"/>
      <c r="R47" s="289"/>
      <c r="S47" s="1409" t="str">
        <f>INDEX(PT_DIFFERENTIATION_NUM_TER,MATCH(B47,PT_DIFFERENTIATION_TER_ID,0))</f>
        <v>.</v>
      </c>
      <c r="T47" s="245" t="s">
        <v>396</v>
      </c>
      <c r="U47" s="237"/>
      <c r="V47" s="2558"/>
      <c r="W47" s="2558"/>
      <c r="X47" s="2558"/>
      <c r="Y47" s="2558"/>
      <c r="Z47" s="2558"/>
      <c r="AA47" s="2558"/>
      <c r="AB47" s="2558"/>
      <c r="AC47" s="2559"/>
      <c r="AD47" s="2557" t="str">
        <f>INDEX(PT_DIFFERENTIATION_TER,MATCH(B47,PT_DIFFERENTIATION_TER_ID,0))</f>
        <v/>
      </c>
      <c r="AE47" s="2558"/>
      <c r="AF47" s="2558"/>
      <c r="AG47" s="2558"/>
      <c r="AH47" s="2558"/>
      <c r="AI47" s="2558"/>
      <c r="AJ47" s="2558"/>
      <c r="AK47" s="2558"/>
      <c r="AL47" s="2558"/>
      <c r="AM47" s="2558"/>
      <c r="AN47" s="2558"/>
      <c r="AO47" s="2558"/>
      <c r="AP47" s="2558"/>
      <c r="AQ47" s="2558"/>
      <c r="AR47" s="2558"/>
      <c r="AS47" s="2558"/>
      <c r="AT47" s="2558"/>
      <c r="AU47" s="2558"/>
      <c r="AV47" s="2558"/>
      <c r="AW47" s="2558"/>
      <c r="AX47" s="2558"/>
      <c r="AY47" s="2558"/>
      <c r="AZ47" s="2558"/>
      <c r="BA47" s="2558"/>
      <c r="BB47" s="2559"/>
      <c r="BC47" s="1174" t="s">
        <v>397</v>
      </c>
      <c r="BE47" s="436"/>
      <c r="BF47" s="436" t="str">
        <f t="shared" si="3"/>
        <v>Территория действия тарифа</v>
      </c>
      <c r="BG47" s="436"/>
      <c r="BH47" s="436"/>
      <c r="BI47" s="1071">
        <v>21</v>
      </c>
    </row>
    <row r="48" spans="1:61" ht="35.65" customHeight="1">
      <c r="A48" s="1279" t="s">
        <v>275</v>
      </c>
      <c r="B48" s="1279" t="s">
        <v>276</v>
      </c>
      <c r="C48" s="1279" t="s">
        <v>277</v>
      </c>
      <c r="D48" s="1279"/>
      <c r="E48" s="2564"/>
      <c r="F48" s="2564"/>
      <c r="G48" s="2563">
        <v>1</v>
      </c>
      <c r="H48" s="1279"/>
      <c r="I48" s="1279"/>
      <c r="J48" s="1279"/>
      <c r="K48" s="1279"/>
      <c r="L48" s="1280"/>
      <c r="M48" s="1281"/>
      <c r="N48" s="1281"/>
      <c r="O48" s="1281"/>
      <c r="P48" s="1328"/>
      <c r="Q48" s="1327"/>
      <c r="R48" s="289"/>
      <c r="S48" s="1409" t="str">
        <f>INDEX(PT_DIFFERENTIATION_NUM_CS,MATCH(C48,PT_DIFFERENTIATION_CS_ID,0))</f>
        <v>..</v>
      </c>
      <c r="T48" s="246" t="s">
        <v>515</v>
      </c>
      <c r="U48" s="237"/>
      <c r="V48" s="2558"/>
      <c r="W48" s="2558"/>
      <c r="X48" s="2558"/>
      <c r="Y48" s="2558"/>
      <c r="Z48" s="2558"/>
      <c r="AA48" s="2558"/>
      <c r="AB48" s="2558"/>
      <c r="AC48" s="2559"/>
      <c r="AD48" s="2557" t="str">
        <f>INDEX(PT_DIFFERENTIATION_CS,MATCH(C48,PT_DIFFERENTIATION_CS_ID,0))</f>
        <v/>
      </c>
      <c r="AE48" s="2558"/>
      <c r="AF48" s="2558"/>
      <c r="AG48" s="2558"/>
      <c r="AH48" s="2558"/>
      <c r="AI48" s="2558"/>
      <c r="AJ48" s="2558"/>
      <c r="AK48" s="2558"/>
      <c r="AL48" s="2558"/>
      <c r="AM48" s="2558"/>
      <c r="AN48" s="2558"/>
      <c r="AO48" s="2558"/>
      <c r="AP48" s="2558"/>
      <c r="AQ48" s="2558"/>
      <c r="AR48" s="2558"/>
      <c r="AS48" s="2558"/>
      <c r="AT48" s="2558"/>
      <c r="AU48" s="2558"/>
      <c r="AV48" s="2558"/>
      <c r="AW48" s="2558"/>
      <c r="AX48" s="2558"/>
      <c r="AY48" s="2558"/>
      <c r="AZ48" s="2558"/>
      <c r="BA48" s="2558"/>
      <c r="BB48" s="2559"/>
      <c r="BC48" s="1174" t="s">
        <v>516</v>
      </c>
      <c r="BE48" s="436"/>
      <c r="BF48" s="436" t="str">
        <f t="shared" si="3"/>
        <v>Наименование централизованной системы водоотведения</v>
      </c>
      <c r="BG48" s="436"/>
      <c r="BH48" s="436"/>
      <c r="BI48" s="1071">
        <v>34</v>
      </c>
    </row>
    <row r="49" spans="1:61" s="2344" customFormat="1" ht="0" hidden="1" customHeight="1">
      <c r="A49" s="1259" t="s">
        <v>275</v>
      </c>
      <c r="B49" s="1259" t="s">
        <v>276</v>
      </c>
      <c r="C49" s="1259" t="s">
        <v>277</v>
      </c>
      <c r="D49" s="1259" t="s">
        <v>528</v>
      </c>
      <c r="E49" s="2564"/>
      <c r="F49" s="2564"/>
      <c r="G49" s="2564"/>
      <c r="H49" s="2563">
        <v>1</v>
      </c>
      <c r="I49" s="1259"/>
      <c r="J49" s="1259"/>
      <c r="K49" s="1259"/>
      <c r="L49" s="1262"/>
      <c r="M49" s="1231"/>
      <c r="N49" s="1231"/>
      <c r="O49" s="1231"/>
      <c r="P49" s="1413"/>
      <c r="Q49" s="1414"/>
      <c r="R49" s="293"/>
      <c r="S49" s="964"/>
      <c r="T49" s="1415"/>
      <c r="U49" s="1300"/>
      <c r="V49" s="2595"/>
      <c r="W49" s="2595"/>
      <c r="X49" s="2595"/>
      <c r="Y49" s="2595"/>
      <c r="Z49" s="2595"/>
      <c r="AA49" s="2595"/>
      <c r="AB49" s="2595"/>
      <c r="AC49" s="2596"/>
      <c r="AD49" s="2594"/>
      <c r="AE49" s="2595"/>
      <c r="AF49" s="2595"/>
      <c r="AG49" s="2595"/>
      <c r="AH49" s="2595"/>
      <c r="AI49" s="2595"/>
      <c r="AJ49" s="2595"/>
      <c r="AK49" s="2595"/>
      <c r="AL49" s="2595"/>
      <c r="AM49" s="2595"/>
      <c r="AN49" s="2595"/>
      <c r="AO49" s="2595"/>
      <c r="AP49" s="2595"/>
      <c r="AQ49" s="2595"/>
      <c r="AR49" s="2595"/>
      <c r="AS49" s="2595"/>
      <c r="AT49" s="2595"/>
      <c r="AU49" s="2595"/>
      <c r="AV49" s="2595"/>
      <c r="AW49" s="2595"/>
      <c r="AX49" s="2595"/>
      <c r="AY49" s="2595"/>
      <c r="AZ49" s="2595"/>
      <c r="BA49" s="2595"/>
      <c r="BB49" s="2596"/>
      <c r="BC49" s="1301" t="s">
        <v>401</v>
      </c>
      <c r="BE49" s="436"/>
      <c r="BF49" s="436" t="str">
        <f t="shared" si="3"/>
        <v/>
      </c>
      <c r="BG49" s="436"/>
      <c r="BH49" s="436"/>
      <c r="BI49" s="447">
        <v>0</v>
      </c>
    </row>
    <row r="50" spans="1:61" s="2344" customFormat="1" ht="0" hidden="1" customHeight="1">
      <c r="A50" s="1259" t="s">
        <v>275</v>
      </c>
      <c r="B50" s="1259" t="s">
        <v>276</v>
      </c>
      <c r="C50" s="1259" t="s">
        <v>277</v>
      </c>
      <c r="D50" s="1259" t="s">
        <v>528</v>
      </c>
      <c r="E50" s="2564"/>
      <c r="F50" s="2564"/>
      <c r="G50" s="2564"/>
      <c r="H50" s="2564"/>
      <c r="I50" s="2565" t="str">
        <f>S49&amp;".1"</f>
        <v>.1</v>
      </c>
      <c r="J50" s="1259"/>
      <c r="K50" s="1259"/>
      <c r="L50" s="1262" t="s">
        <v>402</v>
      </c>
      <c r="M50" s="446"/>
      <c r="N50" s="446"/>
      <c r="O50" s="446"/>
      <c r="P50" s="2567">
        <v>1</v>
      </c>
      <c r="Q50" s="1397"/>
      <c r="R50" s="292"/>
      <c r="S50" s="964"/>
      <c r="T50" s="1299"/>
      <c r="U50" s="1300"/>
      <c r="V50" s="2595"/>
      <c r="W50" s="2595"/>
      <c r="X50" s="2595"/>
      <c r="Y50" s="2595"/>
      <c r="Z50" s="2595"/>
      <c r="AA50" s="2595"/>
      <c r="AB50" s="2595"/>
      <c r="AC50" s="2596"/>
      <c r="AD50" s="2594"/>
      <c r="AE50" s="2595"/>
      <c r="AF50" s="2595"/>
      <c r="AG50" s="2595"/>
      <c r="AH50" s="2595"/>
      <c r="AI50" s="2595"/>
      <c r="AJ50" s="2595"/>
      <c r="AK50" s="2595"/>
      <c r="AL50" s="2595"/>
      <c r="AM50" s="2595"/>
      <c r="AN50" s="2595"/>
      <c r="AO50" s="2595"/>
      <c r="AP50" s="2595"/>
      <c r="AQ50" s="2595"/>
      <c r="AR50" s="2595"/>
      <c r="AS50" s="2595"/>
      <c r="AT50" s="2595"/>
      <c r="AU50" s="2595"/>
      <c r="AV50" s="2595"/>
      <c r="AW50" s="2595"/>
      <c r="AX50" s="2595"/>
      <c r="AY50" s="2595"/>
      <c r="AZ50" s="2595"/>
      <c r="BA50" s="2595"/>
      <c r="BB50" s="2596"/>
      <c r="BC50" s="1301"/>
      <c r="BE50" s="436"/>
      <c r="BF50" s="436" t="str">
        <f t="shared" si="3"/>
        <v/>
      </c>
      <c r="BG50" s="436"/>
      <c r="BH50" s="436"/>
      <c r="BI50" s="447">
        <v>0</v>
      </c>
    </row>
    <row r="51" spans="1:61" s="2344" customFormat="1" ht="0" hidden="1" customHeight="1">
      <c r="A51" s="1259" t="s">
        <v>275</v>
      </c>
      <c r="B51" s="1259" t="s">
        <v>276</v>
      </c>
      <c r="C51" s="1259" t="s">
        <v>277</v>
      </c>
      <c r="D51" s="1259" t="s">
        <v>528</v>
      </c>
      <c r="E51" s="2564"/>
      <c r="F51" s="2564"/>
      <c r="G51" s="2564"/>
      <c r="H51" s="2564"/>
      <c r="I51" s="2566"/>
      <c r="J51" s="2565" t="str">
        <f>S49&amp;".1"</f>
        <v>.1</v>
      </c>
      <c r="K51" s="1259"/>
      <c r="L51" s="1262"/>
      <c r="M51" s="446"/>
      <c r="N51" s="446"/>
      <c r="O51" s="446"/>
      <c r="P51" s="2567"/>
      <c r="Q51" s="2567">
        <v>1</v>
      </c>
      <c r="R51" s="293"/>
      <c r="S51" s="964"/>
      <c r="T51" s="1315"/>
      <c r="U51" s="1300"/>
      <c r="V51" s="2595"/>
      <c r="W51" s="2595"/>
      <c r="X51" s="2595"/>
      <c r="Y51" s="2595"/>
      <c r="Z51" s="2595"/>
      <c r="AA51" s="2595"/>
      <c r="AB51" s="2595"/>
      <c r="AC51" s="2596"/>
      <c r="AD51" s="2594"/>
      <c r="AE51" s="2595"/>
      <c r="AF51" s="2595"/>
      <c r="AG51" s="2595"/>
      <c r="AH51" s="2595"/>
      <c r="AI51" s="2595"/>
      <c r="AJ51" s="2595"/>
      <c r="AK51" s="2595"/>
      <c r="AL51" s="2595"/>
      <c r="AM51" s="2595"/>
      <c r="AN51" s="2646"/>
      <c r="AO51" s="2646"/>
      <c r="AP51" s="2595"/>
      <c r="AQ51" s="2595"/>
      <c r="AR51" s="2595"/>
      <c r="AS51" s="2595"/>
      <c r="AT51" s="2595"/>
      <c r="AU51" s="2595"/>
      <c r="AV51" s="2595"/>
      <c r="AW51" s="2595"/>
      <c r="AX51" s="2595"/>
      <c r="AY51" s="2595"/>
      <c r="AZ51" s="2595"/>
      <c r="BA51" s="2595"/>
      <c r="BB51" s="2596"/>
      <c r="BC51" s="1301"/>
      <c r="BE51" s="436"/>
      <c r="BF51" s="436" t="str">
        <f t="shared" si="3"/>
        <v/>
      </c>
      <c r="BG51" s="436"/>
      <c r="BH51" s="436"/>
      <c r="BI51" s="447">
        <v>0</v>
      </c>
    </row>
    <row r="52" spans="1:61" ht="11.45" customHeight="1">
      <c r="A52" s="1279" t="s">
        <v>275</v>
      </c>
      <c r="B52" s="1279" t="s">
        <v>276</v>
      </c>
      <c r="C52" s="1279" t="s">
        <v>277</v>
      </c>
      <c r="D52" s="1279" t="s">
        <v>528</v>
      </c>
      <c r="E52" s="2564"/>
      <c r="F52" s="2564"/>
      <c r="G52" s="2564"/>
      <c r="H52" s="2564"/>
      <c r="I52" s="2566"/>
      <c r="J52" s="2566"/>
      <c r="K52" s="2565" t="str">
        <f>S48&amp;".1"</f>
        <v>...1</v>
      </c>
      <c r="L52" s="1280"/>
      <c r="P52" s="2567"/>
      <c r="Q52" s="2567"/>
      <c r="R52" s="293">
        <v>1</v>
      </c>
      <c r="S52" s="2620" t="str">
        <f>$K52</f>
        <v>...1</v>
      </c>
      <c r="T52" s="2640"/>
      <c r="U52" s="237"/>
      <c r="V52" s="687"/>
      <c r="W52" s="1173"/>
      <c r="X52" s="687"/>
      <c r="Y52" s="1173"/>
      <c r="Z52" s="1649"/>
      <c r="AA52" s="1385" t="s">
        <v>62</v>
      </c>
      <c r="AB52" s="1649"/>
      <c r="AC52" s="1385" t="s">
        <v>62</v>
      </c>
      <c r="AD52" s="2507" t="s">
        <v>62</v>
      </c>
      <c r="AE52" s="2616"/>
      <c r="AF52" s="2520">
        <v>1</v>
      </c>
      <c r="AG52" s="2639"/>
      <c r="AH52" s="2445" t="s">
        <v>62</v>
      </c>
      <c r="AI52" s="2616"/>
      <c r="AJ52" s="2520">
        <v>1</v>
      </c>
      <c r="AK52" s="2630" t="s">
        <v>22</v>
      </c>
      <c r="AL52" s="2445" t="s">
        <v>62</v>
      </c>
      <c r="AM52" s="2495"/>
      <c r="AN52" s="2520">
        <v>1</v>
      </c>
      <c r="AO52" s="2643"/>
      <c r="AP52" s="2644" t="s">
        <v>62</v>
      </c>
      <c r="AQ52" s="248"/>
      <c r="AR52" s="1402">
        <v>1</v>
      </c>
      <c r="AS52" s="1408" t="s">
        <v>22</v>
      </c>
      <c r="AT52" s="687"/>
      <c r="AU52" s="1173"/>
      <c r="AV52" s="687"/>
      <c r="AW52" s="1173"/>
      <c r="AX52" s="1649"/>
      <c r="AY52" s="1385" t="s">
        <v>62</v>
      </c>
      <c r="AZ52" s="1649"/>
      <c r="BA52" s="1385" t="s">
        <v>62</v>
      </c>
      <c r="BB52" s="1264"/>
      <c r="BC52" s="2586" t="s">
        <v>500</v>
      </c>
      <c r="BE52" s="436"/>
      <c r="BF52" s="436" t="str">
        <f t="shared" si="3"/>
        <v/>
      </c>
      <c r="BG52" s="436"/>
      <c r="BH52" s="436"/>
      <c r="BI52" s="1071">
        <v>11</v>
      </c>
    </row>
    <row r="53" spans="1:61" ht="11.45" customHeight="1">
      <c r="A53" s="1279"/>
      <c r="B53" s="1279"/>
      <c r="C53" s="1279"/>
      <c r="D53" s="1279"/>
      <c r="E53" s="2564"/>
      <c r="F53" s="2564"/>
      <c r="G53" s="2564"/>
      <c r="H53" s="2564"/>
      <c r="I53" s="2566"/>
      <c r="J53" s="2566"/>
      <c r="K53" s="2565"/>
      <c r="L53" s="1280"/>
      <c r="P53" s="2567"/>
      <c r="Q53" s="2567"/>
      <c r="R53" s="293"/>
      <c r="S53" s="2621"/>
      <c r="T53" s="2641"/>
      <c r="U53" s="237"/>
      <c r="V53" s="1309"/>
      <c r="W53" s="1412"/>
      <c r="X53" s="1309"/>
      <c r="Y53" s="1412"/>
      <c r="Z53" s="1309"/>
      <c r="AA53" s="1309"/>
      <c r="AB53" s="1309"/>
      <c r="AC53" s="1309"/>
      <c r="AD53" s="2508"/>
      <c r="AE53" s="2616"/>
      <c r="AF53" s="2520"/>
      <c r="AG53" s="2639"/>
      <c r="AH53" s="2445"/>
      <c r="AI53" s="2616"/>
      <c r="AJ53" s="2520"/>
      <c r="AK53" s="2630"/>
      <c r="AL53" s="2445"/>
      <c r="AM53" s="2500"/>
      <c r="AN53" s="2520"/>
      <c r="AO53" s="2643"/>
      <c r="AP53" s="2645"/>
      <c r="AQ53" s="253"/>
      <c r="AR53" s="352"/>
      <c r="AS53" s="352" t="s">
        <v>501</v>
      </c>
      <c r="AT53" s="1309"/>
      <c r="AU53" s="1412"/>
      <c r="AV53" s="1309"/>
      <c r="AW53" s="1412"/>
      <c r="AX53" s="1309"/>
      <c r="AY53" s="1309"/>
      <c r="AZ53" s="1309"/>
      <c r="BA53" s="1309"/>
      <c r="BB53" s="1313"/>
      <c r="BC53" s="2587"/>
      <c r="BE53" s="436"/>
      <c r="BF53" s="436"/>
      <c r="BG53" s="436"/>
      <c r="BH53" s="436"/>
      <c r="BI53" s="1071">
        <v>11</v>
      </c>
    </row>
    <row r="54" spans="1:61" ht="11.45" customHeight="1">
      <c r="A54" s="1279" t="s">
        <v>275</v>
      </c>
      <c r="B54" s="1279"/>
      <c r="C54" s="1279"/>
      <c r="D54" s="1279"/>
      <c r="E54" s="2564"/>
      <c r="F54" s="2564"/>
      <c r="G54" s="2564"/>
      <c r="H54" s="2564"/>
      <c r="I54" s="2566"/>
      <c r="J54" s="2566"/>
      <c r="K54" s="2565"/>
      <c r="L54" s="1280"/>
      <c r="P54" s="2567"/>
      <c r="Q54" s="2567"/>
      <c r="R54" s="293"/>
      <c r="S54" s="2621"/>
      <c r="T54" s="2641"/>
      <c r="U54" s="237"/>
      <c r="V54" s="1309"/>
      <c r="W54" s="1412"/>
      <c r="X54" s="1309"/>
      <c r="Y54" s="1412"/>
      <c r="Z54" s="1309"/>
      <c r="AA54" s="1309"/>
      <c r="AB54" s="1309"/>
      <c r="AC54" s="1309"/>
      <c r="AD54" s="2508"/>
      <c r="AE54" s="2616"/>
      <c r="AF54" s="2520"/>
      <c r="AG54" s="2639"/>
      <c r="AH54" s="2445"/>
      <c r="AI54" s="2616"/>
      <c r="AJ54" s="2520"/>
      <c r="AK54" s="2630"/>
      <c r="AL54" s="2445"/>
      <c r="AM54" s="253"/>
      <c r="AN54" s="1416"/>
      <c r="AO54" s="1416" t="s">
        <v>521</v>
      </c>
      <c r="AP54" s="352"/>
      <c r="AQ54" s="352"/>
      <c r="AR54" s="352"/>
      <c r="AS54" s="1309"/>
      <c r="AT54" s="1309"/>
      <c r="AU54" s="1412"/>
      <c r="AV54" s="1309"/>
      <c r="AW54" s="1412"/>
      <c r="AX54" s="1309"/>
      <c r="AY54" s="1309"/>
      <c r="AZ54" s="1309"/>
      <c r="BA54" s="1309"/>
      <c r="BB54" s="1313"/>
      <c r="BC54" s="2587"/>
      <c r="BE54" s="436"/>
      <c r="BF54" s="436"/>
      <c r="BG54" s="436"/>
      <c r="BH54" s="436"/>
      <c r="BI54" s="1071">
        <v>11</v>
      </c>
    </row>
    <row r="55" spans="1:61" ht="11.45" customHeight="1">
      <c r="A55" s="1279" t="s">
        <v>275</v>
      </c>
      <c r="B55" s="1279"/>
      <c r="C55" s="1279"/>
      <c r="D55" s="1279"/>
      <c r="E55" s="2564"/>
      <c r="F55" s="2564"/>
      <c r="G55" s="2564"/>
      <c r="H55" s="2564"/>
      <c r="I55" s="2566"/>
      <c r="J55" s="2566"/>
      <c r="K55" s="2565"/>
      <c r="L55" s="1280"/>
      <c r="P55" s="2567"/>
      <c r="Q55" s="2567"/>
      <c r="R55" s="293"/>
      <c r="S55" s="2621"/>
      <c r="T55" s="2641"/>
      <c r="U55" s="237"/>
      <c r="V55" s="1309"/>
      <c r="W55" s="1412"/>
      <c r="X55" s="1309"/>
      <c r="Y55" s="1412"/>
      <c r="Z55" s="1309"/>
      <c r="AA55" s="1309"/>
      <c r="AB55" s="1309"/>
      <c r="AC55" s="1309"/>
      <c r="AD55" s="2508"/>
      <c r="AE55" s="2616"/>
      <c r="AF55" s="2520"/>
      <c r="AG55" s="2639"/>
      <c r="AH55" s="2445"/>
      <c r="AI55" s="231"/>
      <c r="AJ55" s="351"/>
      <c r="AK55" s="250" t="s">
        <v>522</v>
      </c>
      <c r="AL55" s="1309"/>
      <c r="AM55" s="1309"/>
      <c r="AN55" s="1309"/>
      <c r="AO55" s="1309"/>
      <c r="AP55" s="1309"/>
      <c r="AQ55" s="1309"/>
      <c r="AR55" s="1309"/>
      <c r="AS55" s="1309"/>
      <c r="AT55" s="1309"/>
      <c r="AU55" s="1412"/>
      <c r="AV55" s="1309"/>
      <c r="AW55" s="1412"/>
      <c r="AX55" s="1309"/>
      <c r="AY55" s="1309"/>
      <c r="AZ55" s="1309"/>
      <c r="BA55" s="1309"/>
      <c r="BB55" s="1313"/>
      <c r="BC55" s="2587"/>
      <c r="BE55" s="436"/>
      <c r="BF55" s="436"/>
      <c r="BG55" s="436"/>
      <c r="BH55" s="436"/>
      <c r="BI55" s="1071">
        <v>11</v>
      </c>
    </row>
    <row r="56" spans="1:61" ht="11.45" customHeight="1">
      <c r="A56" s="1279" t="s">
        <v>275</v>
      </c>
      <c r="B56" s="1279" t="s">
        <v>276</v>
      </c>
      <c r="C56" s="1279" t="s">
        <v>277</v>
      </c>
      <c r="D56" s="1279" t="s">
        <v>528</v>
      </c>
      <c r="E56" s="2564"/>
      <c r="F56" s="2564"/>
      <c r="G56" s="2564"/>
      <c r="H56" s="2564"/>
      <c r="I56" s="2566"/>
      <c r="J56" s="2566"/>
      <c r="K56" s="2565"/>
      <c r="L56" s="1280"/>
      <c r="P56" s="2567"/>
      <c r="Q56" s="2567"/>
      <c r="R56" s="293"/>
      <c r="S56" s="2622"/>
      <c r="T56" s="2642"/>
      <c r="U56" s="237"/>
      <c r="V56" s="1309"/>
      <c r="W56" s="1310" t="str">
        <f>Z52&amp;"-"&amp;AB52</f>
        <v>-</v>
      </c>
      <c r="X56" s="1309"/>
      <c r="Y56" s="1310" t="str">
        <f>AB52&amp;"-"&amp;AD52</f>
        <v>-да</v>
      </c>
      <c r="Z56" s="1309"/>
      <c r="AA56" s="1309"/>
      <c r="AB56" s="1309"/>
      <c r="AC56" s="1309"/>
      <c r="AD56" s="2450"/>
      <c r="AE56" s="249"/>
      <c r="AF56" s="251"/>
      <c r="AG56" s="352" t="s">
        <v>504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587"/>
      <c r="BE56" s="436"/>
      <c r="BF56" s="436" t="str">
        <f t="shared" ref="BF56:BF63" si="4">IF(T56="","",T56)</f>
        <v/>
      </c>
      <c r="BG56" s="436"/>
      <c r="BH56" s="436"/>
      <c r="BI56" s="1071">
        <v>11</v>
      </c>
    </row>
    <row r="57" spans="1:61" ht="11.45" customHeight="1">
      <c r="A57" s="1279" t="s">
        <v>275</v>
      </c>
      <c r="B57" s="1279" t="s">
        <v>276</v>
      </c>
      <c r="C57" s="1279" t="s">
        <v>277</v>
      </c>
      <c r="D57" s="1279" t="s">
        <v>528</v>
      </c>
      <c r="E57" s="2564"/>
      <c r="F57" s="2564"/>
      <c r="G57" s="2564"/>
      <c r="H57" s="2564"/>
      <c r="I57" s="2566"/>
      <c r="J57" s="2565"/>
      <c r="K57" s="1279"/>
      <c r="L57" s="1280"/>
      <c r="P57" s="2567"/>
      <c r="Q57" s="2567"/>
      <c r="R57" s="292"/>
      <c r="S57" s="1194"/>
      <c r="T57" s="224" t="s">
        <v>467</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8"/>
      <c r="BE57" s="436"/>
      <c r="BF57" s="436" t="str">
        <f t="shared" si="4"/>
        <v>Добавить строку</v>
      </c>
      <c r="BG57" s="436"/>
      <c r="BH57" s="436"/>
      <c r="BI57" s="1071">
        <v>11</v>
      </c>
    </row>
    <row r="58" spans="1:61" s="2344" customFormat="1" ht="0" hidden="1" customHeight="1">
      <c r="A58" s="1259" t="s">
        <v>275</v>
      </c>
      <c r="B58" s="1259" t="s">
        <v>276</v>
      </c>
      <c r="C58" s="1259" t="s">
        <v>277</v>
      </c>
      <c r="D58" s="1259" t="s">
        <v>528</v>
      </c>
      <c r="E58" s="2564"/>
      <c r="F58" s="2564"/>
      <c r="G58" s="2564"/>
      <c r="H58" s="2564"/>
      <c r="I58" s="2565"/>
      <c r="J58" s="1259"/>
      <c r="K58" s="1259"/>
      <c r="L58" s="1262"/>
      <c r="M58" s="446"/>
      <c r="N58" s="446"/>
      <c r="O58" s="446"/>
      <c r="P58" s="2567"/>
      <c r="Q58" s="1397"/>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344" customFormat="1" ht="0" hidden="1" customHeight="1">
      <c r="A59" s="1259" t="s">
        <v>275</v>
      </c>
      <c r="B59" s="1259" t="s">
        <v>276</v>
      </c>
      <c r="C59" s="1259" t="s">
        <v>277</v>
      </c>
      <c r="D59" s="1259" t="s">
        <v>528</v>
      </c>
      <c r="E59" s="2564"/>
      <c r="F59" s="2564"/>
      <c r="G59" s="2564"/>
      <c r="H59" s="2563"/>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344" customFormat="1" ht="0" hidden="1" customHeight="1">
      <c r="A60" s="1259" t="s">
        <v>275</v>
      </c>
      <c r="B60" s="1259" t="s">
        <v>276</v>
      </c>
      <c r="C60" s="1259" t="s">
        <v>277</v>
      </c>
      <c r="D60" s="1230"/>
      <c r="E60" s="2564"/>
      <c r="F60" s="2564"/>
      <c r="G60" s="2563"/>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344" customFormat="1" ht="0" hidden="1" customHeight="1">
      <c r="A61" s="1259" t="s">
        <v>275</v>
      </c>
      <c r="B61" s="1259" t="s">
        <v>276</v>
      </c>
      <c r="C61" s="1230"/>
      <c r="D61" s="1230"/>
      <c r="E61" s="2564"/>
      <c r="F61" s="2563"/>
      <c r="G61" s="1230"/>
      <c r="H61" s="1230"/>
      <c r="I61" s="1230"/>
      <c r="J61" s="1230"/>
      <c r="K61" s="1230"/>
      <c r="L61" s="1410"/>
      <c r="M61" s="1237"/>
      <c r="N61" s="1237"/>
      <c r="P61" s="1232"/>
      <c r="Q61" s="1233"/>
      <c r="R61" s="1232"/>
      <c r="S61" s="1238"/>
      <c r="T61" s="1241" t="s">
        <v>414</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344" customFormat="1" ht="0" hidden="1" customHeight="1">
      <c r="A62" s="1259" t="s">
        <v>275</v>
      </c>
      <c r="B62" s="1259"/>
      <c r="C62" s="1259"/>
      <c r="D62" s="1259"/>
      <c r="E62" s="2563"/>
      <c r="F62" s="1259"/>
      <c r="G62" s="1259"/>
      <c r="H62" s="1259"/>
      <c r="I62" s="1259"/>
      <c r="J62" s="1259"/>
      <c r="K62" s="1259"/>
      <c r="L62" s="1262"/>
      <c r="M62" s="1237"/>
      <c r="N62" s="1237"/>
      <c r="O62" s="454"/>
      <c r="P62" s="316"/>
      <c r="Q62" s="1260"/>
      <c r="R62" s="316"/>
      <c r="S62" s="1238"/>
      <c r="T62" s="1241" t="s">
        <v>415</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344"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447</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4.65" customHeight="1">
      <c r="O65" s="473"/>
      <c r="S65" s="1169"/>
      <c r="T65" s="2562"/>
      <c r="U65" s="2562"/>
      <c r="V65" s="2562"/>
      <c r="W65" s="2562"/>
      <c r="X65" s="2562"/>
      <c r="Y65" s="2562"/>
      <c r="Z65" s="2562"/>
      <c r="AA65" s="2562"/>
      <c r="AB65" s="2562"/>
      <c r="AC65" s="2562"/>
      <c r="AD65" s="2562"/>
      <c r="AE65" s="2562"/>
      <c r="AF65" s="2562"/>
      <c r="AG65" s="2562"/>
      <c r="AH65" s="2562"/>
      <c r="AI65" s="2562"/>
      <c r="AJ65" s="2562"/>
      <c r="AK65" s="2562"/>
      <c r="AL65" s="2562"/>
      <c r="AM65" s="2562"/>
      <c r="AN65" s="2562"/>
      <c r="AO65" s="2562"/>
      <c r="AP65" s="2562"/>
      <c r="AQ65" s="2562"/>
      <c r="AR65" s="2562"/>
      <c r="AS65" s="2562"/>
      <c r="AT65" s="2562"/>
      <c r="AU65" s="2562"/>
      <c r="AV65" s="2562"/>
      <c r="AW65" s="2562"/>
      <c r="AX65" s="2562"/>
      <c r="AY65" s="2562"/>
      <c r="AZ65" s="2562"/>
      <c r="BA65" s="2562"/>
      <c r="BB65" s="2562"/>
      <c r="BC65" s="2562"/>
      <c r="BI65" s="1071">
        <v>14</v>
      </c>
    </row>
    <row r="66" spans="1:61" ht="14.65" customHeight="1">
      <c r="O66" s="473"/>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4.65" customHeight="1">
      <c r="O67" s="473"/>
      <c r="S67" s="1169"/>
      <c r="T67" s="2562"/>
      <c r="U67" s="2562"/>
      <c r="V67" s="2562"/>
      <c r="W67" s="2562"/>
      <c r="X67" s="2562"/>
      <c r="Y67" s="2562"/>
      <c r="Z67" s="2562"/>
      <c r="AA67" s="2562"/>
      <c r="AB67" s="2562"/>
      <c r="AC67" s="2562"/>
      <c r="AD67" s="2562"/>
      <c r="AE67" s="2562"/>
      <c r="AF67" s="2562"/>
      <c r="AG67" s="2562"/>
      <c r="AH67" s="2562"/>
      <c r="AI67" s="2562"/>
      <c r="AJ67" s="2562"/>
      <c r="AK67" s="2562"/>
      <c r="AL67" s="2562"/>
      <c r="AM67" s="2562"/>
      <c r="AN67" s="2562"/>
      <c r="AO67" s="2562"/>
      <c r="AP67" s="2562"/>
      <c r="AQ67" s="2562"/>
      <c r="AR67" s="2562"/>
      <c r="AS67" s="2562"/>
      <c r="AT67" s="2562"/>
      <c r="AU67" s="2562"/>
      <c r="AV67" s="2562"/>
      <c r="AW67" s="2562"/>
      <c r="AX67" s="2562"/>
      <c r="AY67" s="2562"/>
      <c r="AZ67" s="2562"/>
      <c r="BA67" s="2562"/>
      <c r="BB67" s="2562"/>
      <c r="BC67" s="2562"/>
      <c r="BI67" s="1071">
        <v>14</v>
      </c>
    </row>
    <row r="68" spans="1:61" ht="14.65" customHeight="1">
      <c r="O68" s="473"/>
      <c r="BI68" s="1071">
        <v>14</v>
      </c>
    </row>
    <row r="69" spans="1:61" ht="14.25" hidden="1" customHeight="1">
      <c r="A69" s="1076" t="s">
        <v>82</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360" hidden="1" customWidth="1"/>
    <col min="2" max="2" width="6" style="2357" hidden="1" customWidth="1"/>
    <col min="3" max="3" width="3" style="2360" customWidth="1"/>
    <col min="4" max="4" width="3" style="2378" customWidth="1"/>
    <col min="5" max="5" width="6" style="2360" customWidth="1"/>
    <col min="6" max="6" width="2.7109375" style="2360" hidden="1" customWidth="1"/>
    <col min="7" max="7" width="46.7109375" style="2360" customWidth="1"/>
    <col min="8" max="8" width="42" style="2360" customWidth="1"/>
    <col min="9" max="9" width="14" style="2360" customWidth="1"/>
    <col min="10" max="10" width="3" style="2358" customWidth="1"/>
    <col min="11" max="13" width="9.140625" style="2358" hidden="1"/>
    <col min="14" max="14" width="25.7109375" style="2358" hidden="1" customWidth="1"/>
    <col min="15" max="15" width="14.42578125" style="2358" hidden="1" customWidth="1"/>
    <col min="16" max="19" width="9.140625" style="2321" hidden="1"/>
    <col min="20" max="27" width="9.140625" style="2360" hidden="1"/>
    <col min="28" max="28" width="8" style="2360" customWidth="1"/>
    <col min="29" max="29" width="9.140625" style="2360" hidden="1"/>
  </cols>
  <sheetData>
    <row r="1" spans="1:29" s="2344"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337"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331" customFormat="1" ht="3" customHeight="1">
      <c r="A3" s="692"/>
      <c r="B3" s="353"/>
      <c r="C3" s="692"/>
      <c r="D3" s="101"/>
      <c r="E3" s="43"/>
      <c r="F3" s="445"/>
      <c r="G3" s="43"/>
      <c r="H3" s="43"/>
      <c r="I3" s="103"/>
      <c r="J3" s="184"/>
      <c r="K3" s="93"/>
      <c r="L3" s="93"/>
      <c r="M3" s="93"/>
      <c r="N3" s="163"/>
      <c r="O3" s="93"/>
      <c r="P3" s="162"/>
      <c r="Q3" s="162"/>
      <c r="R3" s="162"/>
      <c r="S3" s="162"/>
      <c r="AC3" s="56">
        <v>3</v>
      </c>
    </row>
    <row r="4" spans="1:29" s="2331" customFormat="1" ht="27.4" customHeight="1">
      <c r="A4" s="692"/>
      <c r="B4" s="353"/>
      <c r="C4" s="692"/>
      <c r="D4" s="101"/>
      <c r="E4" s="2421" t="str">
        <f>NameTemplatesInListMO</f>
        <v>Перечень муниципальных районов и муниципальных образований (территорий оказания услуг)</v>
      </c>
      <c r="F4" s="2421"/>
      <c r="G4" s="2421"/>
      <c r="H4" s="2421"/>
      <c r="I4" s="2421"/>
      <c r="J4" s="184"/>
      <c r="K4" s="93"/>
      <c r="L4" s="93"/>
      <c r="M4" s="93"/>
      <c r="N4" s="163"/>
      <c r="O4" s="93"/>
      <c r="P4" s="162"/>
      <c r="Q4" s="162"/>
      <c r="R4" s="162"/>
      <c r="S4" s="162"/>
      <c r="AC4" s="56">
        <v>26</v>
      </c>
    </row>
    <row r="5" spans="1:29" s="2331" customFormat="1" ht="3" customHeight="1">
      <c r="A5" s="692"/>
      <c r="B5" s="353"/>
      <c r="C5" s="692"/>
      <c r="D5" s="101"/>
      <c r="E5" s="43"/>
      <c r="F5" s="445"/>
      <c r="G5" s="104"/>
      <c r="H5" s="104"/>
      <c r="I5" s="105"/>
      <c r="J5" s="93"/>
      <c r="K5" s="93"/>
      <c r="L5" s="93"/>
      <c r="M5" s="93"/>
      <c r="N5" s="163"/>
      <c r="O5" s="93"/>
      <c r="P5" s="162"/>
      <c r="Q5" s="162"/>
      <c r="R5" s="162"/>
      <c r="S5" s="162"/>
      <c r="AC5" s="56">
        <v>3</v>
      </c>
    </row>
    <row r="6" spans="1:29" s="233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331" customFormat="1" ht="14.65" customHeight="1">
      <c r="A8" s="692"/>
      <c r="B8" s="353"/>
      <c r="C8" s="692"/>
      <c r="D8" s="101"/>
      <c r="E8" s="2417" t="s">
        <v>86</v>
      </c>
      <c r="F8" s="2422"/>
      <c r="G8" s="2416"/>
      <c r="H8" s="2423" t="s">
        <v>87</v>
      </c>
      <c r="I8" s="2423"/>
      <c r="J8" s="93"/>
      <c r="K8" s="93"/>
      <c r="L8" s="93"/>
      <c r="M8" s="93"/>
      <c r="N8" s="163"/>
      <c r="O8" s="93"/>
      <c r="P8" s="162"/>
      <c r="Q8" s="162"/>
      <c r="R8" s="162"/>
      <c r="S8" s="162"/>
      <c r="AC8" s="56">
        <v>14</v>
      </c>
    </row>
    <row r="9" spans="1:29" s="2331"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331"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331" customFormat="1" ht="15" customHeight="1">
      <c r="A12" s="242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398" customFormat="1" ht="15.75" customHeight="1">
      <c r="A13" s="2420"/>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Город-курорт Пятигорск(07727000)</v>
      </c>
      <c r="P13" s="353"/>
      <c r="Q13" s="353"/>
      <c r="R13" s="356"/>
      <c r="S13" s="353"/>
      <c r="T13" s="353"/>
      <c r="U13" s="353"/>
      <c r="V13" s="358"/>
      <c r="W13" s="358"/>
      <c r="X13" s="355"/>
      <c r="Y13" s="355"/>
      <c r="Z13" s="355"/>
      <c r="AA13" s="355"/>
      <c r="AB13" s="355"/>
      <c r="AC13" s="359">
        <v>15</v>
      </c>
    </row>
    <row r="14" spans="1:29" s="2398" customFormat="1" ht="15.75" customHeight="1">
      <c r="A14" s="2420"/>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331"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331"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331"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331"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353" customFormat="1" ht="10.5" customHeight="1">
      <c r="B19" s="764"/>
      <c r="D19" s="119"/>
      <c r="J19" s="93"/>
      <c r="K19" s="93"/>
      <c r="L19" s="93"/>
      <c r="M19" s="93"/>
      <c r="N19" s="163"/>
      <c r="O19" s="93"/>
      <c r="P19" s="162"/>
      <c r="Q19" s="162"/>
      <c r="R19" s="162"/>
      <c r="S19" s="162"/>
      <c r="AC19" s="118">
        <v>10</v>
      </c>
    </row>
    <row r="20" spans="1:29" s="2353"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4.140625" style="2357" hidden="1" customWidth="1"/>
    <col min="10" max="10" width="9.85546875" style="2357" hidden="1" customWidth="1"/>
    <col min="11" max="11" width="14.710937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8" width="19.7109375" style="2360" hidden="1" customWidth="1"/>
    <col min="29" max="29" width="11.7109375" style="2360" hidden="1" customWidth="1"/>
    <col min="30" max="30" width="3.7109375" style="2360" hidden="1" customWidth="1"/>
    <col min="31" max="31" width="11.7109375" style="2360" hidden="1" customWidth="1"/>
    <col min="32" max="32" width="8.5703125" style="2360" hidden="1" customWidth="1"/>
    <col min="33" max="33" width="19.7109375" style="2360" customWidth="1"/>
    <col min="34" max="39" width="19" style="2360" customWidth="1"/>
    <col min="40" max="40" width="11" style="2360" customWidth="1"/>
    <col min="41" max="41" width="3.7109375" style="2360" customWidth="1"/>
    <col min="42" max="42" width="11" style="2360" customWidth="1"/>
    <col min="43" max="43" width="8.5703125" style="2360" hidden="1" customWidth="1"/>
    <col min="44" max="44" width="4" style="2360" customWidth="1"/>
    <col min="45" max="45" width="115" style="2360" customWidth="1"/>
    <col min="46" max="50" width="10" style="2344" customWidth="1"/>
    <col min="51" max="51" width="10.5703125" style="2360" hidden="1"/>
  </cols>
  <sheetData>
    <row r="1" spans="1:51" ht="22.5" hidden="1" customHeight="1">
      <c r="AC1" s="264"/>
      <c r="AN1" s="264"/>
      <c r="AY1" s="1071" t="s">
        <v>14</v>
      </c>
    </row>
    <row r="2" spans="1:51" ht="23.25" hidden="1" customHeight="1">
      <c r="A2" s="1279"/>
      <c r="B2" s="1279"/>
      <c r="C2" s="1279"/>
      <c r="D2" s="1279"/>
      <c r="E2" s="2563">
        <v>1</v>
      </c>
      <c r="F2" s="1279"/>
      <c r="G2" s="1279"/>
      <c r="H2" s="1279"/>
      <c r="I2" s="1279"/>
      <c r="J2" s="1279"/>
      <c r="K2" s="1279"/>
      <c r="L2" s="1280"/>
      <c r="M2" s="1281"/>
      <c r="N2" s="1281"/>
      <c r="O2" s="1281"/>
      <c r="P2" s="297"/>
      <c r="Q2" s="296"/>
      <c r="R2" s="291"/>
      <c r="S2" s="1409" t="e">
        <f>INDEX(PT_DIFFERENTIATION_NUM_NTAR,MATCH(A2,PT_DIFFERENTIATION_NTAR_ID,0))</f>
        <v>#N/A</v>
      </c>
      <c r="T2" s="235" t="s">
        <v>124</v>
      </c>
      <c r="U2" s="237"/>
      <c r="V2" s="2557"/>
      <c r="W2" s="2558"/>
      <c r="X2" s="2558"/>
      <c r="Y2" s="2558"/>
      <c r="Z2" s="2558"/>
      <c r="AA2" s="2558"/>
      <c r="AB2" s="2558"/>
      <c r="AC2" s="2558"/>
      <c r="AD2" s="2558"/>
      <c r="AE2" s="2558"/>
      <c r="AF2" s="2559"/>
      <c r="AG2" s="2557" t="e">
        <f>INDEX(PT_DIFFERENTIATION_NTAR,MATCH(A2,PT_DIFFERENTIATION_NTAR_ID,0))</f>
        <v>#N/A</v>
      </c>
      <c r="AH2" s="2558"/>
      <c r="AI2" s="2558"/>
      <c r="AJ2" s="2558"/>
      <c r="AK2" s="2558"/>
      <c r="AL2" s="2558"/>
      <c r="AM2" s="2558"/>
      <c r="AN2" s="2558"/>
      <c r="AO2" s="2558"/>
      <c r="AP2" s="2558"/>
      <c r="AQ2" s="2558"/>
      <c r="AR2" s="2559"/>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1">
        <v>0</v>
      </c>
    </row>
    <row r="3" spans="1:51" ht="23.25" hidden="1" customHeight="1">
      <c r="A3" s="1279"/>
      <c r="B3" s="1279"/>
      <c r="C3" s="1279"/>
      <c r="D3" s="1279"/>
      <c r="E3" s="2564"/>
      <c r="F3" s="2563">
        <v>1</v>
      </c>
      <c r="G3" s="1279"/>
      <c r="H3" s="1279"/>
      <c r="I3" s="1279"/>
      <c r="J3" s="1279"/>
      <c r="K3" s="1279"/>
      <c r="L3" s="1280"/>
      <c r="M3" s="1281"/>
      <c r="N3" s="1281"/>
      <c r="O3" s="1281"/>
      <c r="P3" s="1403"/>
      <c r="Q3" s="288"/>
      <c r="R3" s="289"/>
      <c r="S3" s="1409" t="e">
        <f>INDEX(PT_DIFFERENTIATION_NUM_TER,MATCH(B3,PT_DIFFERENTIATION_TER_ID,0))</f>
        <v>#N/A</v>
      </c>
      <c r="T3" s="245" t="s">
        <v>396</v>
      </c>
      <c r="U3" s="237"/>
      <c r="V3" s="2557"/>
      <c r="W3" s="2558"/>
      <c r="X3" s="2558"/>
      <c r="Y3" s="2558"/>
      <c r="Z3" s="2558"/>
      <c r="AA3" s="2558"/>
      <c r="AB3" s="2558"/>
      <c r="AC3" s="2558"/>
      <c r="AD3" s="2558"/>
      <c r="AE3" s="2558"/>
      <c r="AF3" s="2559"/>
      <c r="AG3" s="2557" t="e">
        <f>INDEX(PT_DIFFERENTIATION_TER,MATCH(B3,PT_DIFFERENTIATION_TER_ID,0))</f>
        <v>#N/A</v>
      </c>
      <c r="AH3" s="2558"/>
      <c r="AI3" s="2558"/>
      <c r="AJ3" s="2558"/>
      <c r="AK3" s="2558"/>
      <c r="AL3" s="2558"/>
      <c r="AM3" s="2558"/>
      <c r="AN3" s="2558"/>
      <c r="AO3" s="2558"/>
      <c r="AP3" s="2558"/>
      <c r="AQ3" s="2558"/>
      <c r="AR3" s="2559"/>
      <c r="AS3" s="1174" t="s">
        <v>397</v>
      </c>
      <c r="AU3" s="436"/>
      <c r="AV3" s="436" t="str">
        <f t="shared" si="0"/>
        <v>Территория действия тарифа</v>
      </c>
      <c r="AW3" s="436"/>
      <c r="AX3" s="436"/>
      <c r="AY3" s="1071">
        <v>0</v>
      </c>
    </row>
    <row r="4" spans="1:51" ht="23.25" hidden="1" customHeight="1">
      <c r="A4" s="1279"/>
      <c r="B4" s="1279"/>
      <c r="C4" s="1279"/>
      <c r="D4" s="1279"/>
      <c r="E4" s="2564"/>
      <c r="F4" s="2564"/>
      <c r="G4" s="2563">
        <v>1</v>
      </c>
      <c r="H4" s="1279"/>
      <c r="I4" s="1279"/>
      <c r="J4" s="1279"/>
      <c r="K4" s="1279"/>
      <c r="L4" s="1280"/>
      <c r="M4" s="1281"/>
      <c r="N4" s="1281"/>
      <c r="O4" s="1281"/>
      <c r="P4" s="290"/>
      <c r="Q4" s="288"/>
      <c r="R4" s="289"/>
      <c r="S4" s="1409" t="e">
        <f>INDEX(PT_DIFFERENTIATION_NUM_CS,MATCH(C4,PT_DIFFERENTIATION_CS_ID,0))</f>
        <v>#N/A</v>
      </c>
      <c r="T4" s="246" t="s">
        <v>529</v>
      </c>
      <c r="U4" s="237"/>
      <c r="V4" s="2557"/>
      <c r="W4" s="2558"/>
      <c r="X4" s="2558"/>
      <c r="Y4" s="2558"/>
      <c r="Z4" s="2558"/>
      <c r="AA4" s="2558"/>
      <c r="AB4" s="2558"/>
      <c r="AC4" s="2558"/>
      <c r="AD4" s="2558"/>
      <c r="AE4" s="2558"/>
      <c r="AF4" s="2559"/>
      <c r="AG4" s="2557" t="e">
        <f>INDEX(PT_DIFFERENTIATION_CS,MATCH(C4,PT_DIFFERENTIATION_CS_ID,0))</f>
        <v>#N/A</v>
      </c>
      <c r="AH4" s="2558"/>
      <c r="AI4" s="2558"/>
      <c r="AJ4" s="2558"/>
      <c r="AK4" s="2558"/>
      <c r="AL4" s="2558"/>
      <c r="AM4" s="2558"/>
      <c r="AN4" s="2558"/>
      <c r="AO4" s="2558"/>
      <c r="AP4" s="2558"/>
      <c r="AQ4" s="2558"/>
      <c r="AR4" s="2559"/>
      <c r="AS4" s="1174" t="s">
        <v>530</v>
      </c>
      <c r="AU4" s="436"/>
      <c r="AV4" s="436" t="str">
        <f t="shared" si="0"/>
        <v>Наименование централизованной системы горячего водоснабжения</v>
      </c>
      <c r="AW4" s="436"/>
      <c r="AX4" s="436"/>
      <c r="AY4" s="1071">
        <v>0</v>
      </c>
    </row>
    <row r="5" spans="1:51" ht="23.25" hidden="1" customHeight="1">
      <c r="A5" s="1279"/>
      <c r="B5" s="1279"/>
      <c r="C5" s="1279"/>
      <c r="D5" s="1279"/>
      <c r="E5" s="2564"/>
      <c r="F5" s="2564"/>
      <c r="G5" s="2564"/>
      <c r="H5" s="2564"/>
      <c r="I5" s="2565" t="e">
        <f>S4&amp;".1"</f>
        <v>#N/A</v>
      </c>
      <c r="J5" s="1279"/>
      <c r="K5" s="1279"/>
      <c r="L5" s="1280"/>
      <c r="P5" s="2567">
        <v>1</v>
      </c>
      <c r="Q5" s="1397"/>
      <c r="R5" s="292"/>
      <c r="S5" s="1409" t="e">
        <f>$I5</f>
        <v>#N/A</v>
      </c>
      <c r="T5" s="222" t="s">
        <v>482</v>
      </c>
      <c r="U5" s="237"/>
      <c r="V5" s="2631"/>
      <c r="W5" s="2632"/>
      <c r="X5" s="2632"/>
      <c r="Y5" s="2632"/>
      <c r="Z5" s="2632"/>
      <c r="AA5" s="2632"/>
      <c r="AB5" s="2632"/>
      <c r="AC5" s="2632"/>
      <c r="AD5" s="2632"/>
      <c r="AE5" s="2632"/>
      <c r="AF5" s="2633"/>
      <c r="AG5" s="2634"/>
      <c r="AH5" s="2635"/>
      <c r="AI5" s="2635"/>
      <c r="AJ5" s="2635"/>
      <c r="AK5" s="2635"/>
      <c r="AL5" s="2635"/>
      <c r="AM5" s="2635"/>
      <c r="AN5" s="2635"/>
      <c r="AO5" s="2635"/>
      <c r="AP5" s="2635"/>
      <c r="AQ5" s="2635"/>
      <c r="AR5" s="2636"/>
      <c r="AS5" s="1174" t="s">
        <v>483</v>
      </c>
      <c r="AU5" s="436"/>
      <c r="AV5" s="436" t="str">
        <f t="shared" si="0"/>
        <v>Наименование признака дифференциации</v>
      </c>
      <c r="AW5" s="436"/>
      <c r="AX5" s="436"/>
      <c r="AY5" s="1071">
        <v>0</v>
      </c>
    </row>
    <row r="6" spans="1:51" ht="23.25" hidden="1" customHeight="1">
      <c r="A6" s="1279"/>
      <c r="B6" s="1279"/>
      <c r="C6" s="1279"/>
      <c r="D6" s="1279"/>
      <c r="E6" s="2564"/>
      <c r="F6" s="2564"/>
      <c r="G6" s="2564"/>
      <c r="H6" s="2564"/>
      <c r="I6" s="2566"/>
      <c r="J6" s="2565" t="e">
        <f>I5&amp;".1"</f>
        <v>#N/A</v>
      </c>
      <c r="K6" s="1279"/>
      <c r="L6" s="1280" t="s">
        <v>405</v>
      </c>
      <c r="P6" s="2567"/>
      <c r="Q6" s="2567">
        <v>1</v>
      </c>
      <c r="R6" s="293"/>
      <c r="S6" s="1409" t="e">
        <f>$J6</f>
        <v>#N/A</v>
      </c>
      <c r="T6" s="223" t="s">
        <v>406</v>
      </c>
      <c r="U6" s="237"/>
      <c r="V6" s="2551"/>
      <c r="W6" s="2552"/>
      <c r="X6" s="2552"/>
      <c r="Y6" s="2552"/>
      <c r="Z6" s="2552"/>
      <c r="AA6" s="2552"/>
      <c r="AB6" s="2552"/>
      <c r="AC6" s="2552"/>
      <c r="AD6" s="2552"/>
      <c r="AE6" s="2552"/>
      <c r="AF6" s="2553"/>
      <c r="AG6" s="2551"/>
      <c r="AH6" s="2552"/>
      <c r="AI6" s="2552"/>
      <c r="AJ6" s="2552"/>
      <c r="AK6" s="2552"/>
      <c r="AL6" s="2552"/>
      <c r="AM6" s="2552"/>
      <c r="AN6" s="2552"/>
      <c r="AO6" s="2552"/>
      <c r="AP6" s="2552"/>
      <c r="AQ6" s="2552"/>
      <c r="AR6" s="2553"/>
      <c r="AS6" s="1223" t="s">
        <v>484</v>
      </c>
      <c r="AU6" s="436"/>
      <c r="AV6" s="436" t="str">
        <f t="shared" si="0"/>
        <v>Группа потребителей</v>
      </c>
      <c r="AW6" s="436"/>
      <c r="AX6" s="436"/>
      <c r="AY6" s="1071">
        <v>0</v>
      </c>
    </row>
    <row r="7" spans="1:51" ht="23.25" hidden="1" customHeight="1">
      <c r="A7" s="1279"/>
      <c r="B7" s="1279"/>
      <c r="C7" s="1279"/>
      <c r="D7" s="1279"/>
      <c r="E7" s="2564"/>
      <c r="F7" s="2564"/>
      <c r="G7" s="2564"/>
      <c r="H7" s="2564"/>
      <c r="I7" s="2566"/>
      <c r="J7" s="2566"/>
      <c r="K7" s="2565" t="e">
        <f>J6&amp;".1"</f>
        <v>#N/A</v>
      </c>
      <c r="L7" s="1280"/>
      <c r="P7" s="2567"/>
      <c r="Q7" s="2567"/>
      <c r="R7" s="293">
        <v>1</v>
      </c>
      <c r="S7" s="1409" t="e">
        <f>$K7</f>
        <v>#N/A</v>
      </c>
      <c r="T7" s="1353"/>
      <c r="U7" s="237"/>
      <c r="V7" s="687"/>
      <c r="W7" s="687"/>
      <c r="X7" s="687"/>
      <c r="Y7" s="687"/>
      <c r="Z7" s="687"/>
      <c r="AA7" s="687"/>
      <c r="AB7" s="687"/>
      <c r="AC7" s="2568"/>
      <c r="AD7" s="2445" t="s">
        <v>62</v>
      </c>
      <c r="AE7" s="2568"/>
      <c r="AF7" s="2445" t="s">
        <v>62</v>
      </c>
      <c r="AG7" s="687"/>
      <c r="AH7" s="687"/>
      <c r="AI7" s="687"/>
      <c r="AJ7" s="687"/>
      <c r="AK7" s="687"/>
      <c r="AL7" s="687"/>
      <c r="AM7" s="687"/>
      <c r="AN7" s="2568"/>
      <c r="AO7" s="2445" t="s">
        <v>62</v>
      </c>
      <c r="AP7" s="2570"/>
      <c r="AQ7" s="2445" t="s">
        <v>62</v>
      </c>
      <c r="AR7" s="1354"/>
      <c r="AS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1">
        <v>0</v>
      </c>
    </row>
    <row r="8" spans="1:51" ht="14.25" hidden="1" customHeight="1">
      <c r="A8" s="1279"/>
      <c r="B8" s="1279"/>
      <c r="C8" s="1279"/>
      <c r="D8" s="1279"/>
      <c r="E8" s="2564"/>
      <c r="F8" s="2564"/>
      <c r="G8" s="2564"/>
      <c r="H8" s="2564"/>
      <c r="I8" s="2566"/>
      <c r="J8" s="2566"/>
      <c r="K8" s="2565"/>
      <c r="L8" s="1280"/>
      <c r="P8" s="2567"/>
      <c r="Q8" s="2567"/>
      <c r="R8" s="293"/>
      <c r="S8" s="1406"/>
      <c r="T8" s="237"/>
      <c r="U8" s="237"/>
      <c r="V8" s="262"/>
      <c r="W8" s="262"/>
      <c r="X8" s="262"/>
      <c r="Y8" s="262"/>
      <c r="Z8" s="262"/>
      <c r="AA8" s="262"/>
      <c r="AB8" s="262"/>
      <c r="AC8" s="2569"/>
      <c r="AD8" s="2445"/>
      <c r="AE8" s="2569"/>
      <c r="AF8" s="2445"/>
      <c r="AG8" s="262"/>
      <c r="AH8" s="262"/>
      <c r="AI8" s="262"/>
      <c r="AJ8" s="262"/>
      <c r="AK8" s="262"/>
      <c r="AL8" s="262"/>
      <c r="AM8" s="262"/>
      <c r="AN8" s="2569"/>
      <c r="AO8" s="2445"/>
      <c r="AP8" s="2571"/>
      <c r="AQ8" s="2445"/>
      <c r="AR8" s="1355"/>
      <c r="AS8" s="2637"/>
      <c r="AU8" s="436"/>
      <c r="AV8" s="436" t="str">
        <f t="shared" si="0"/>
        <v/>
      </c>
      <c r="AW8" s="436"/>
      <c r="AX8" s="436"/>
      <c r="AY8" s="1071">
        <v>0</v>
      </c>
    </row>
    <row r="9" spans="1:51" ht="21" hidden="1" customHeight="1">
      <c r="A9" s="1279"/>
      <c r="B9" s="1279"/>
      <c r="C9" s="1279"/>
      <c r="D9" s="1279"/>
      <c r="E9" s="2564"/>
      <c r="F9" s="2564"/>
      <c r="G9" s="2564"/>
      <c r="H9" s="2564"/>
      <c r="I9" s="2566"/>
      <c r="J9" s="2565"/>
      <c r="K9" s="1279"/>
      <c r="L9" s="1280"/>
      <c r="P9" s="2567"/>
      <c r="Q9" s="2567"/>
      <c r="R9" s="292"/>
      <c r="S9" s="119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4" t="s">
        <v>486</v>
      </c>
      <c r="AU9" s="436"/>
      <c r="AV9" s="436" t="str">
        <f t="shared" si="0"/>
        <v>Добавить значение признака дифференциации</v>
      </c>
      <c r="AW9" s="436"/>
      <c r="AX9" s="436"/>
      <c r="AY9" s="1071">
        <v>0</v>
      </c>
    </row>
    <row r="10" spans="1:51" ht="21" hidden="1" customHeight="1">
      <c r="A10" s="1279"/>
      <c r="B10" s="1279"/>
      <c r="C10" s="1279"/>
      <c r="D10" s="1279"/>
      <c r="E10" s="2564"/>
      <c r="F10" s="2564"/>
      <c r="G10" s="2564"/>
      <c r="H10" s="2564"/>
      <c r="I10" s="2565"/>
      <c r="J10" s="1279"/>
      <c r="K10" s="1279"/>
      <c r="L10" s="1280"/>
      <c r="P10" s="2567"/>
      <c r="Q10" s="1397"/>
      <c r="R10" s="292"/>
      <c r="S10" s="119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6"/>
      <c r="AU10" s="436"/>
      <c r="AV10" s="436" t="str">
        <f t="shared" si="0"/>
        <v>Добавить группу потребителей</v>
      </c>
      <c r="AW10" s="436"/>
      <c r="AX10" s="436"/>
      <c r="AY10" s="1071">
        <v>0</v>
      </c>
    </row>
    <row r="11" spans="1:51" ht="21" hidden="1" customHeight="1">
      <c r="A11" s="1279"/>
      <c r="B11" s="1279"/>
      <c r="C11" s="1279"/>
      <c r="D11" s="1279"/>
      <c r="E11" s="2564"/>
      <c r="F11" s="2564"/>
      <c r="G11" s="2564"/>
      <c r="H11" s="2563"/>
      <c r="I11" s="1279"/>
      <c r="J11" s="1279"/>
      <c r="K11" s="1279"/>
      <c r="L11" s="1280"/>
      <c r="M11" s="1281"/>
      <c r="N11" s="1281"/>
      <c r="O11" s="473"/>
      <c r="P11" s="296"/>
      <c r="Q11" s="311"/>
      <c r="R11" s="291"/>
      <c r="S11" s="119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1">
        <v>0</v>
      </c>
    </row>
    <row r="12" spans="1:51" s="2344" customFormat="1" ht="14.25" hidden="1" customHeight="1">
      <c r="A12" s="1259"/>
      <c r="B12" s="1259"/>
      <c r="C12" s="1230"/>
      <c r="D12" s="1230"/>
      <c r="E12" s="2564"/>
      <c r="F12" s="2563"/>
      <c r="G12" s="1230"/>
      <c r="H12" s="1230"/>
      <c r="I12" s="1230"/>
      <c r="J12" s="1230"/>
      <c r="K12" s="1230"/>
      <c r="L12" s="1410"/>
      <c r="M12" s="1237"/>
      <c r="N12" s="1237"/>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9"/>
      <c r="AV12" s="719" t="str">
        <f t="shared" si="0"/>
        <v>Добавить централизованную систему для дифференциации</v>
      </c>
      <c r="AW12" s="719"/>
      <c r="AX12" s="719"/>
      <c r="AY12" s="454">
        <v>0</v>
      </c>
    </row>
    <row r="13" spans="1:51" s="2344" customFormat="1" ht="14.25" hidden="1" customHeight="1">
      <c r="A13" s="1259"/>
      <c r="B13" s="1259"/>
      <c r="C13" s="1259"/>
      <c r="D13" s="1259"/>
      <c r="E13" s="2563"/>
      <c r="F13" s="1259"/>
      <c r="G13" s="1259"/>
      <c r="H13" s="1259"/>
      <c r="I13" s="1259"/>
      <c r="J13" s="1259"/>
      <c r="K13" s="1259"/>
      <c r="L13" s="1262"/>
      <c r="M13" s="1237"/>
      <c r="N13" s="1237"/>
      <c r="O13" s="454"/>
      <c r="P13" s="316"/>
      <c r="Q13" s="1260"/>
      <c r="R13" s="316"/>
      <c r="S13" s="1238"/>
      <c r="T13" s="1241" t="s">
        <v>415</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6"/>
      <c r="AV13" s="436" t="str">
        <f t="shared" si="0"/>
        <v>Добавить территорию для дифференциации</v>
      </c>
      <c r="AW13" s="436"/>
      <c r="AX13" s="436"/>
      <c r="AY13" s="447">
        <v>0</v>
      </c>
    </row>
    <row r="14" spans="1:51" ht="14.25" hidden="1" customHeight="1">
      <c r="AF14" s="264"/>
      <c r="AQ14" s="264"/>
      <c r="AY14" s="1071">
        <v>0</v>
      </c>
    </row>
    <row r="15" spans="1:51" ht="14.25" hidden="1" customHeight="1">
      <c r="AG15" s="1276"/>
      <c r="AH15" s="1276"/>
      <c r="AI15" s="1276"/>
      <c r="AJ15" s="1276"/>
      <c r="AK15" s="1276"/>
      <c r="AL15" s="1276"/>
      <c r="AM15" s="1276"/>
      <c r="AN15" s="2561"/>
      <c r="AO15" s="2560" t="s">
        <v>62</v>
      </c>
      <c r="AP15" s="2561"/>
      <c r="AQ15" s="2560" t="s">
        <v>62</v>
      </c>
      <c r="AY15" s="1071">
        <v>0</v>
      </c>
    </row>
    <row r="16" spans="1:51" ht="14.25" hidden="1" customHeight="1">
      <c r="AG16" s="1276"/>
      <c r="AH16" s="1276"/>
      <c r="AI16" s="1276"/>
      <c r="AJ16" s="1276"/>
      <c r="AK16" s="1276"/>
      <c r="AL16" s="1276"/>
      <c r="AM16" s="1276"/>
      <c r="AN16" s="2560"/>
      <c r="AO16" s="2560"/>
      <c r="AP16" s="2560"/>
      <c r="AQ16" s="2560"/>
      <c r="AY16" s="1071">
        <v>0</v>
      </c>
    </row>
    <row r="17" spans="1:51" ht="14.25" hidden="1" customHeight="1">
      <c r="AQ17" s="264"/>
      <c r="AY17" s="1071">
        <v>0</v>
      </c>
    </row>
    <row r="18" spans="1:51" s="2357" customFormat="1" ht="22.5" hidden="1" customHeight="1">
      <c r="L18" s="1394"/>
      <c r="M18" s="1278"/>
      <c r="N18" s="1278"/>
      <c r="O18" s="1283" t="s">
        <v>416</v>
      </c>
      <c r="P18" s="1278"/>
      <c r="Q18" s="1287"/>
      <c r="R18" s="1287"/>
      <c r="S18" s="665"/>
      <c r="W18" s="1282"/>
      <c r="X18" s="1282"/>
      <c r="Y18" s="1282"/>
      <c r="Z18" s="1282"/>
      <c r="AA18" s="1282"/>
      <c r="AB18" s="1282"/>
      <c r="AC18" s="1283"/>
      <c r="AE18" s="1283"/>
      <c r="AF18" s="1282"/>
      <c r="AH18" s="1282"/>
      <c r="AI18" s="1282"/>
      <c r="AJ18" s="1282"/>
      <c r="AK18" s="1282"/>
      <c r="AL18" s="1282"/>
      <c r="AN18" s="1283"/>
      <c r="AP18" s="1283"/>
      <c r="AQ18" s="1282"/>
      <c r="AT18" s="447"/>
      <c r="AU18" s="447"/>
      <c r="AV18" s="447"/>
      <c r="AW18" s="447"/>
      <c r="AX18" s="447"/>
      <c r="AY18" s="1076">
        <v>0</v>
      </c>
    </row>
    <row r="19" spans="1:51" s="2357" customFormat="1" ht="14.25" hidden="1" customHeight="1">
      <c r="L19" s="1394"/>
      <c r="M19" s="1278"/>
      <c r="N19" s="1278"/>
      <c r="O19" s="1278"/>
      <c r="P19" s="1278"/>
      <c r="Q19" s="1287"/>
      <c r="R19" s="1287"/>
      <c r="S19" s="665"/>
      <c r="W19" s="1282"/>
      <c r="X19" s="1282"/>
      <c r="Y19" s="1282"/>
      <c r="Z19" s="1282"/>
      <c r="AA19" s="1282"/>
      <c r="AB19" s="1282"/>
      <c r="AF19" s="1282"/>
      <c r="AH19" s="1282"/>
      <c r="AI19" s="1282"/>
      <c r="AJ19" s="1282"/>
      <c r="AK19" s="1282"/>
      <c r="AL19" s="1282"/>
      <c r="AQ19" s="1282"/>
      <c r="AT19" s="447"/>
      <c r="AU19" s="447"/>
      <c r="AV19" s="447"/>
      <c r="AW19" s="447"/>
      <c r="AX19" s="447"/>
      <c r="AY19" s="1076">
        <v>0</v>
      </c>
    </row>
    <row r="20" spans="1:51" s="2357" customFormat="1" ht="12" hidden="1" customHeight="1">
      <c r="L20" s="1394"/>
      <c r="M20" s="1278"/>
      <c r="N20" s="1278"/>
      <c r="O20" s="1280" t="s">
        <v>417</v>
      </c>
      <c r="P20" s="1278"/>
      <c r="Q20" s="1358"/>
      <c r="R20" s="1358"/>
      <c r="S20" s="665"/>
      <c r="T20" s="1076" t="s">
        <v>418</v>
      </c>
      <c r="W20" s="1282"/>
      <c r="X20" s="1282"/>
      <c r="Y20" s="1282"/>
      <c r="Z20" s="1282"/>
      <c r="AA20" s="1282"/>
      <c r="AB20" s="1282"/>
      <c r="AD20" s="123" t="s">
        <v>419</v>
      </c>
      <c r="AF20" s="123" t="s">
        <v>420</v>
      </c>
      <c r="AG20" s="1076" t="s">
        <v>418</v>
      </c>
      <c r="AH20" s="1282"/>
      <c r="AI20" s="1282"/>
      <c r="AJ20" s="1282"/>
      <c r="AK20" s="1282"/>
      <c r="AL20" s="1282"/>
      <c r="AO20" s="123" t="s">
        <v>421</v>
      </c>
      <c r="AQ20" s="123" t="s">
        <v>420</v>
      </c>
      <c r="AY20" s="1076">
        <v>0</v>
      </c>
    </row>
    <row r="21" spans="1:51" ht="14.25" hidden="1" customHeight="1">
      <c r="O21" s="1280"/>
      <c r="AY21" s="1071">
        <v>0</v>
      </c>
    </row>
    <row r="22" spans="1:51" ht="14.25" hidden="1" customHeight="1">
      <c r="O22" s="1280"/>
      <c r="AY22" s="1071">
        <v>0</v>
      </c>
    </row>
    <row r="23" spans="1:51" ht="14.65" customHeight="1">
      <c r="Q23" s="312"/>
      <c r="R23" s="312"/>
      <c r="S23" s="1191"/>
      <c r="T23" s="299"/>
      <c r="U23" s="299"/>
      <c r="V23" s="445"/>
      <c r="W23" s="1551"/>
      <c r="X23" s="1551"/>
      <c r="Y23" s="1551"/>
      <c r="Z23" s="1551"/>
      <c r="AA23" s="1551"/>
      <c r="AB23" s="1551"/>
      <c r="AC23" s="445"/>
      <c r="AD23" s="445"/>
      <c r="AE23" s="445"/>
      <c r="AF23" s="445"/>
      <c r="AG23" s="445"/>
      <c r="AH23" s="1551"/>
      <c r="AI23" s="1551"/>
      <c r="AJ23" s="1551"/>
      <c r="AK23" s="1551"/>
      <c r="AL23" s="1551"/>
      <c r="AM23" s="445"/>
      <c r="AN23" s="445"/>
      <c r="AO23" s="445"/>
      <c r="AP23" s="445"/>
      <c r="AQ23" s="445"/>
      <c r="AY23" s="1071">
        <v>14</v>
      </c>
    </row>
    <row r="24" spans="1:51" ht="26.25" customHeight="1">
      <c r="Q24" s="312"/>
      <c r="R24" s="312"/>
      <c r="S24" s="25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2544"/>
      <c r="AJ24" s="2544"/>
      <c r="AK24" s="2544"/>
      <c r="AL24" s="2544"/>
      <c r="AM24" s="2544"/>
      <c r="AN24" s="2544"/>
      <c r="AO24" s="2544"/>
      <c r="AP24" s="2544"/>
      <c r="AQ24" s="1159"/>
      <c r="AY24" s="1071">
        <v>25</v>
      </c>
    </row>
    <row r="25" spans="1:51" ht="14.65" customHeight="1">
      <c r="Q25" s="312"/>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1159"/>
      <c r="AY25" s="1071">
        <v>14</v>
      </c>
    </row>
    <row r="26" spans="1:51" ht="14.25" hidden="1" customHeight="1">
      <c r="Q26" s="312"/>
      <c r="R26" s="312"/>
      <c r="S26" s="119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1">
        <v>0</v>
      </c>
    </row>
    <row r="27" spans="1:51" s="2380" customFormat="1" ht="25.5" hidden="1" customHeight="1">
      <c r="A27" s="1284"/>
      <c r="B27" s="1284"/>
      <c r="C27" s="1284"/>
      <c r="D27" s="1284"/>
      <c r="E27" s="1284"/>
      <c r="F27" s="1284"/>
      <c r="G27" s="1284"/>
      <c r="H27" s="1284"/>
      <c r="I27" s="1284"/>
      <c r="J27" s="1284"/>
      <c r="K27" s="1284"/>
      <c r="L27" s="1285"/>
      <c r="M27" s="1284"/>
      <c r="N27" s="1284"/>
      <c r="O27" s="1284"/>
      <c r="S27" s="2554" t="s">
        <v>41</v>
      </c>
      <c r="T27" s="2554"/>
      <c r="U27" s="1288"/>
      <c r="V27" s="2556" t="str">
        <f>IF(TITLE_NAME_OR_PR_CHANGE="",IF(TITLE_NAME_OR_PR="","",TITLE_NAME_OR_PR),TITLE_NAME_OR_PR_CHANGE)</f>
        <v/>
      </c>
      <c r="W27" s="2556"/>
      <c r="X27" s="2556"/>
      <c r="Y27" s="2556"/>
      <c r="Z27" s="2556"/>
      <c r="AA27" s="2556"/>
      <c r="AB27" s="2556"/>
      <c r="AC27" s="2556"/>
      <c r="AD27" s="2556"/>
      <c r="AE27" s="2556"/>
      <c r="AF27" s="263"/>
      <c r="AG27" s="2556" t="str">
        <f>IF(TITLE_NAME_OR_PR_CHANGE="",IF(TITLE_NAME_OR_PR="","",TITLE_NAME_OR_PR),TITLE_NAME_OR_PR_CHANGE)</f>
        <v/>
      </c>
      <c r="AH27" s="2556"/>
      <c r="AI27" s="2556"/>
      <c r="AJ27" s="2556"/>
      <c r="AK27" s="2556"/>
      <c r="AL27" s="2556"/>
      <c r="AM27" s="2556"/>
      <c r="AN27" s="2556"/>
      <c r="AO27" s="2556"/>
      <c r="AP27" s="2556"/>
      <c r="AQ27" s="263"/>
      <c r="AR27" s="263"/>
      <c r="AS27" s="217"/>
      <c r="AT27" s="304"/>
      <c r="AU27" s="304"/>
      <c r="AV27" s="304"/>
      <c r="AW27" s="304"/>
      <c r="AX27" s="304"/>
      <c r="AY27" s="354">
        <v>0</v>
      </c>
    </row>
    <row r="28" spans="1:51" s="2380" customFormat="1" ht="18.75" hidden="1" customHeight="1">
      <c r="A28" s="1284"/>
      <c r="B28" s="1284"/>
      <c r="C28" s="1284"/>
      <c r="D28" s="1284"/>
      <c r="E28" s="1284"/>
      <c r="F28" s="1284"/>
      <c r="G28" s="1284"/>
      <c r="H28" s="1284"/>
      <c r="I28" s="1284"/>
      <c r="J28" s="1284"/>
      <c r="K28" s="1284"/>
      <c r="L28" s="1285"/>
      <c r="M28" s="1284"/>
      <c r="N28" s="1284"/>
      <c r="O28" s="1284"/>
      <c r="S28" s="2554" t="s">
        <v>422</v>
      </c>
      <c r="T28" s="2554"/>
      <c r="U28" s="1288"/>
      <c r="V28" s="2555" t="str">
        <f>IF(TITLE_DATE_PR_CHANGE="",IF(TITLE_DATE_PR="","",TITLE_DATE_PR),TITLE_DATE_PR_CHANGE)</f>
        <v/>
      </c>
      <c r="W28" s="2555"/>
      <c r="X28" s="2555"/>
      <c r="Y28" s="2555"/>
      <c r="Z28" s="2555"/>
      <c r="AA28" s="2555"/>
      <c r="AB28" s="2555"/>
      <c r="AC28" s="2555"/>
      <c r="AD28" s="2555"/>
      <c r="AE28" s="2555"/>
      <c r="AF28" s="263"/>
      <c r="AG28" s="2555" t="str">
        <f>IF(TITLE_DATE_PR_CHANGE="",IF(TITLE_DATE_PR="","",TITLE_DATE_PR),TITLE_DATE_PR_CHANGE)</f>
        <v/>
      </c>
      <c r="AH28" s="2555"/>
      <c r="AI28" s="2555"/>
      <c r="AJ28" s="2555"/>
      <c r="AK28" s="2555"/>
      <c r="AL28" s="2555"/>
      <c r="AM28" s="2555"/>
      <c r="AN28" s="2555"/>
      <c r="AO28" s="2555"/>
      <c r="AP28" s="2555"/>
      <c r="AQ28" s="263"/>
      <c r="AR28" s="263"/>
      <c r="AS28" s="217"/>
      <c r="AT28" s="304"/>
      <c r="AU28" s="304"/>
      <c r="AV28" s="304"/>
      <c r="AW28" s="304"/>
      <c r="AX28" s="304"/>
      <c r="AY28" s="354">
        <v>0</v>
      </c>
    </row>
    <row r="29" spans="1:51" s="2380" customFormat="1" ht="18.75" hidden="1" customHeight="1">
      <c r="A29" s="1284"/>
      <c r="B29" s="1284"/>
      <c r="C29" s="1284"/>
      <c r="D29" s="1284"/>
      <c r="E29" s="1284"/>
      <c r="F29" s="1284"/>
      <c r="G29" s="1284"/>
      <c r="H29" s="1284"/>
      <c r="I29" s="1284"/>
      <c r="J29" s="1284"/>
      <c r="K29" s="1284"/>
      <c r="L29" s="1285"/>
      <c r="M29" s="1284"/>
      <c r="N29" s="1284"/>
      <c r="O29" s="1284"/>
      <c r="S29" s="2554" t="s">
        <v>423</v>
      </c>
      <c r="T29" s="2554"/>
      <c r="U29" s="1288"/>
      <c r="V29" s="2556" t="str">
        <f>IF(TITLE_NUMBER_PR_CHANGE="",IF(TITLE_NUMBER_PR="","",TITLE_NUMBER_PR),TITLE_NUMBER_PR_CHANGE)</f>
        <v/>
      </c>
      <c r="W29" s="2556"/>
      <c r="X29" s="2556"/>
      <c r="Y29" s="2556"/>
      <c r="Z29" s="2556"/>
      <c r="AA29" s="2556"/>
      <c r="AB29" s="2556"/>
      <c r="AC29" s="2556"/>
      <c r="AD29" s="2556"/>
      <c r="AE29" s="2556"/>
      <c r="AF29" s="263"/>
      <c r="AG29" s="2556" t="str">
        <f>IF(TITLE_NUMBER_PR_CHANGE="",IF(TITLE_NUMBER_PR="","",TITLE_NUMBER_PR),TITLE_NUMBER_PR_CHANGE)</f>
        <v/>
      </c>
      <c r="AH29" s="2556"/>
      <c r="AI29" s="2556"/>
      <c r="AJ29" s="2556"/>
      <c r="AK29" s="2556"/>
      <c r="AL29" s="2556"/>
      <c r="AM29" s="2556"/>
      <c r="AN29" s="2556"/>
      <c r="AO29" s="2556"/>
      <c r="AP29" s="2556"/>
      <c r="AQ29" s="263"/>
      <c r="AR29" s="263"/>
      <c r="AS29" s="217"/>
      <c r="AT29" s="304"/>
      <c r="AU29" s="304"/>
      <c r="AV29" s="304"/>
      <c r="AW29" s="304"/>
      <c r="AX29" s="304"/>
      <c r="AY29" s="354">
        <v>0</v>
      </c>
    </row>
    <row r="30" spans="1:51" s="2380" customFormat="1" ht="18.75" hidden="1" customHeight="1">
      <c r="A30" s="1284"/>
      <c r="B30" s="1284"/>
      <c r="C30" s="1284"/>
      <c r="D30" s="1284"/>
      <c r="E30" s="1284"/>
      <c r="F30" s="1284"/>
      <c r="G30" s="1284"/>
      <c r="H30" s="1284"/>
      <c r="I30" s="1284"/>
      <c r="J30" s="1284"/>
      <c r="K30" s="1284"/>
      <c r="L30" s="1285"/>
      <c r="M30" s="1284"/>
      <c r="N30" s="1284"/>
      <c r="O30" s="1284"/>
      <c r="S30" s="2554" t="s">
        <v>42</v>
      </c>
      <c r="T30" s="2554"/>
      <c r="U30" s="1288"/>
      <c r="V30" s="2556" t="str">
        <f>IF(TITLE_IST_PUB_CHANGE="",IF(TITLE_IST_PUB="","",TITLE_IST_PUB),TITLE_IST_PUB_CHANGE)</f>
        <v/>
      </c>
      <c r="W30" s="2556"/>
      <c r="X30" s="2556"/>
      <c r="Y30" s="2556"/>
      <c r="Z30" s="2556"/>
      <c r="AA30" s="2556"/>
      <c r="AB30" s="2556"/>
      <c r="AC30" s="2556"/>
      <c r="AD30" s="2556"/>
      <c r="AE30" s="2556"/>
      <c r="AF30" s="263"/>
      <c r="AG30" s="2556" t="str">
        <f>IF(TITLE_IST_PUB_CHANGE="",IF(TITLE_IST_PUB="","",TITLE_IST_PUB),TITLE_IST_PUB_CHANGE)</f>
        <v/>
      </c>
      <c r="AH30" s="2556"/>
      <c r="AI30" s="2556"/>
      <c r="AJ30" s="2556"/>
      <c r="AK30" s="2556"/>
      <c r="AL30" s="2556"/>
      <c r="AM30" s="2556"/>
      <c r="AN30" s="2556"/>
      <c r="AO30" s="2556"/>
      <c r="AP30" s="2556"/>
      <c r="AQ30" s="263"/>
      <c r="AR30" s="263"/>
      <c r="AS30" s="217"/>
      <c r="AT30" s="304"/>
      <c r="AU30" s="304"/>
      <c r="AV30" s="304"/>
      <c r="AW30" s="304"/>
      <c r="AX30" s="304"/>
      <c r="AY30" s="354">
        <v>0</v>
      </c>
    </row>
    <row r="31" spans="1:51" ht="14.25" hidden="1" customHeight="1">
      <c r="Q31" s="312"/>
      <c r="R31" s="312"/>
      <c r="S31" s="119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1">
        <v>0</v>
      </c>
    </row>
    <row r="32" spans="1:51" s="2380" customFormat="1" ht="18.75" hidden="1" customHeight="1">
      <c r="A32" s="1284"/>
      <c r="B32" s="1284"/>
      <c r="C32" s="1284"/>
      <c r="D32" s="1284"/>
      <c r="E32" s="1284"/>
      <c r="F32" s="1284"/>
      <c r="G32" s="1284"/>
      <c r="H32" s="1284"/>
      <c r="I32" s="1284"/>
      <c r="J32" s="1284"/>
      <c r="K32" s="1284"/>
      <c r="L32" s="1285"/>
      <c r="M32" s="1284"/>
      <c r="N32" s="1284"/>
      <c r="O32" s="1284"/>
      <c r="S32" s="2554" t="s">
        <v>424</v>
      </c>
      <c r="T32" s="2554"/>
      <c r="U32" s="1288"/>
      <c r="V32" s="2555" t="str">
        <f>IF(TITLE_DATE_PR_CHANGE="",IF(TITLE_DATE_PR="","",TITLE_DATE_PR),TITLE_DATE_PR_CHANGE)</f>
        <v/>
      </c>
      <c r="W32" s="2555"/>
      <c r="X32" s="2555"/>
      <c r="Y32" s="2555"/>
      <c r="Z32" s="2555"/>
      <c r="AA32" s="2555"/>
      <c r="AB32" s="2555"/>
      <c r="AC32" s="2555"/>
      <c r="AD32" s="2555"/>
      <c r="AE32" s="2555"/>
      <c r="AF32" s="263"/>
      <c r="AG32" s="2555" t="str">
        <f>IF(TITLE_DATE_PR_CHANGE="",IF(TITLE_DATE_PR="","",TITLE_DATE_PR),TITLE_DATE_PR_CHANGE)</f>
        <v/>
      </c>
      <c r="AH32" s="2555"/>
      <c r="AI32" s="2555"/>
      <c r="AJ32" s="2555"/>
      <c r="AK32" s="2555"/>
      <c r="AL32" s="2555"/>
      <c r="AM32" s="2555"/>
      <c r="AN32" s="2555"/>
      <c r="AO32" s="2555"/>
      <c r="AP32" s="2555"/>
      <c r="AQ32" s="263"/>
      <c r="AR32" s="263"/>
      <c r="AS32" s="217"/>
      <c r="AT32" s="304"/>
      <c r="AU32" s="304"/>
      <c r="AV32" s="304"/>
      <c r="AW32" s="304"/>
      <c r="AX32" s="304"/>
      <c r="AY32" s="354">
        <v>0</v>
      </c>
    </row>
    <row r="33" spans="1:51" s="2380" customFormat="1" ht="18.75" hidden="1" customHeight="1">
      <c r="A33" s="1284"/>
      <c r="B33" s="1284"/>
      <c r="C33" s="1284"/>
      <c r="D33" s="1284"/>
      <c r="E33" s="1284"/>
      <c r="F33" s="1284"/>
      <c r="G33" s="1284"/>
      <c r="H33" s="1284"/>
      <c r="I33" s="1284"/>
      <c r="J33" s="1284"/>
      <c r="K33" s="1284"/>
      <c r="L33" s="1285"/>
      <c r="M33" s="1284"/>
      <c r="N33" s="1284"/>
      <c r="O33" s="1284"/>
      <c r="S33" s="2554" t="s">
        <v>425</v>
      </c>
      <c r="T33" s="2554"/>
      <c r="U33" s="1288"/>
      <c r="V33" s="2556" t="str">
        <f>IF(TITLE_NUMBER_PR_CHANGE="",IF(TITLE_NUMBER_PR="","",TITLE_NUMBER_PR),TITLE_NUMBER_PR_CHANGE)</f>
        <v/>
      </c>
      <c r="W33" s="2556"/>
      <c r="X33" s="2556"/>
      <c r="Y33" s="2556"/>
      <c r="Z33" s="2556"/>
      <c r="AA33" s="2556"/>
      <c r="AB33" s="2556"/>
      <c r="AC33" s="2556"/>
      <c r="AD33" s="2556"/>
      <c r="AE33" s="2556"/>
      <c r="AF33" s="263"/>
      <c r="AG33" s="2556" t="str">
        <f>IF(TITLE_NUMBER_PR_CHANGE="",IF(TITLE_NUMBER_PR="","",TITLE_NUMBER_PR),TITLE_NUMBER_PR_CHANGE)</f>
        <v/>
      </c>
      <c r="AH33" s="2556"/>
      <c r="AI33" s="2556"/>
      <c r="AJ33" s="2556"/>
      <c r="AK33" s="2556"/>
      <c r="AL33" s="2556"/>
      <c r="AM33" s="2556"/>
      <c r="AN33" s="2556"/>
      <c r="AO33" s="2556"/>
      <c r="AP33" s="2556"/>
      <c r="AQ33" s="263"/>
      <c r="AR33" s="263"/>
      <c r="AS33" s="217"/>
      <c r="AT33" s="304"/>
      <c r="AU33" s="304"/>
      <c r="AV33" s="304"/>
      <c r="AW33" s="304"/>
      <c r="AX33" s="304"/>
      <c r="AY33" s="354">
        <v>0</v>
      </c>
    </row>
    <row r="34" spans="1:51" s="2380"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1551"/>
      <c r="X34" s="1551"/>
      <c r="Y34" s="1551"/>
      <c r="Z34" s="1551"/>
      <c r="AA34" s="1551"/>
      <c r="AB34" s="1551"/>
      <c r="AC34" s="263"/>
      <c r="AD34" s="263"/>
      <c r="AE34" s="263"/>
      <c r="AF34" s="215" t="s">
        <v>426</v>
      </c>
      <c r="AG34" s="263"/>
      <c r="AH34" s="1551"/>
      <c r="AI34" s="1551"/>
      <c r="AJ34" s="1551"/>
      <c r="AK34" s="1551"/>
      <c r="AL34" s="1551"/>
      <c r="AM34" s="263"/>
      <c r="AN34" s="263"/>
      <c r="AO34" s="263"/>
      <c r="AP34" s="263"/>
      <c r="AQ34" s="215" t="s">
        <v>426</v>
      </c>
      <c r="AT34" s="304"/>
      <c r="AU34" s="304"/>
      <c r="AV34" s="304"/>
      <c r="AW34" s="304"/>
      <c r="AX34" s="304"/>
      <c r="AY34" s="354">
        <v>1</v>
      </c>
    </row>
    <row r="35" spans="1:51" ht="14.65" customHeight="1">
      <c r="Q35" s="312"/>
      <c r="R35" s="312"/>
      <c r="S35" s="1191"/>
      <c r="T35" s="299"/>
      <c r="U35" s="1160"/>
      <c r="V35" s="2575"/>
      <c r="W35" s="2575"/>
      <c r="X35" s="2575"/>
      <c r="Y35" s="2575"/>
      <c r="Z35" s="2575"/>
      <c r="AA35" s="2575"/>
      <c r="AB35" s="2575"/>
      <c r="AC35" s="2575"/>
      <c r="AD35" s="2575"/>
      <c r="AE35" s="2575"/>
      <c r="AF35" s="2575"/>
      <c r="AG35" s="2575"/>
      <c r="AH35" s="2575"/>
      <c r="AI35" s="2575"/>
      <c r="AJ35" s="2575"/>
      <c r="AK35" s="2575"/>
      <c r="AL35" s="2575"/>
      <c r="AM35" s="2575"/>
      <c r="AN35" s="2575"/>
      <c r="AO35" s="2575"/>
      <c r="AP35" s="2575"/>
      <c r="AQ35" s="2575"/>
      <c r="AY35" s="1071">
        <v>14</v>
      </c>
    </row>
    <row r="36" spans="1:51" ht="14.65" customHeight="1">
      <c r="Q36" s="312"/>
      <c r="R36" s="312"/>
      <c r="S36" s="2435" t="s">
        <v>299</v>
      </c>
      <c r="T36" s="2435"/>
      <c r="U36" s="2435"/>
      <c r="V36" s="2435"/>
      <c r="W36" s="2435"/>
      <c r="X36" s="2435"/>
      <c r="Y36" s="2435"/>
      <c r="Z36" s="2435"/>
      <c r="AA36" s="2435"/>
      <c r="AB36" s="2435"/>
      <c r="AC36" s="2435"/>
      <c r="AD36" s="2435"/>
      <c r="AE36" s="2435"/>
      <c r="AF36" s="2435"/>
      <c r="AG36" s="2435"/>
      <c r="AH36" s="2435"/>
      <c r="AI36" s="2435"/>
      <c r="AJ36" s="2435"/>
      <c r="AK36" s="2435"/>
      <c r="AL36" s="2435"/>
      <c r="AM36" s="2435"/>
      <c r="AN36" s="2435"/>
      <c r="AO36" s="2435"/>
      <c r="AP36" s="2435"/>
      <c r="AQ36" s="2435"/>
      <c r="AR36" s="2435"/>
      <c r="AS36" s="2435" t="s">
        <v>300</v>
      </c>
      <c r="AY36" s="1071">
        <v>14</v>
      </c>
    </row>
    <row r="37" spans="1:51" ht="14.65" customHeight="1">
      <c r="Q37" s="312"/>
      <c r="R37" s="312"/>
      <c r="S37" s="2576" t="s">
        <v>88</v>
      </c>
      <c r="T37" s="2524" t="s">
        <v>427</v>
      </c>
      <c r="U37" s="238"/>
      <c r="V37" s="2577" t="s">
        <v>428</v>
      </c>
      <c r="W37" s="2593"/>
      <c r="X37" s="2593"/>
      <c r="Y37" s="2593"/>
      <c r="Z37" s="2593"/>
      <c r="AA37" s="2593"/>
      <c r="AB37" s="2593"/>
      <c r="AC37" s="2578"/>
      <c r="AD37" s="2578"/>
      <c r="AE37" s="2579"/>
      <c r="AF37" s="2580" t="s">
        <v>429</v>
      </c>
      <c r="AG37" s="2577" t="s">
        <v>428</v>
      </c>
      <c r="AH37" s="2578"/>
      <c r="AI37" s="2578"/>
      <c r="AJ37" s="2578"/>
      <c r="AK37" s="2578"/>
      <c r="AL37" s="2578"/>
      <c r="AM37" s="2578"/>
      <c r="AN37" s="2578"/>
      <c r="AO37" s="2578"/>
      <c r="AP37" s="2579"/>
      <c r="AQ37" s="2580" t="s">
        <v>430</v>
      </c>
      <c r="AR37" s="2583" t="s">
        <v>431</v>
      </c>
      <c r="AS37" s="2435"/>
      <c r="AY37" s="1071">
        <v>14</v>
      </c>
    </row>
    <row r="38" spans="1:51" ht="19.899999999999999" customHeight="1">
      <c r="Q38" s="312"/>
      <c r="R38" s="312"/>
      <c r="S38" s="2576"/>
      <c r="T38" s="2524"/>
      <c r="U38" s="953"/>
      <c r="V38" s="2435" t="s">
        <v>531</v>
      </c>
      <c r="W38" s="2647" t="s">
        <v>532</v>
      </c>
      <c r="X38" s="2647"/>
      <c r="Y38" s="2647"/>
      <c r="Z38" s="2647" t="s">
        <v>533</v>
      </c>
      <c r="AA38" s="2647"/>
      <c r="AB38" s="2647"/>
      <c r="AC38" s="2495" t="s">
        <v>435</v>
      </c>
      <c r="AD38" s="2605"/>
      <c r="AE38" s="2496"/>
      <c r="AF38" s="2581"/>
      <c r="AG38" s="2435" t="s">
        <v>531</v>
      </c>
      <c r="AH38" s="2647" t="s">
        <v>532</v>
      </c>
      <c r="AI38" s="2647"/>
      <c r="AJ38" s="2647"/>
      <c r="AK38" s="2647" t="s">
        <v>533</v>
      </c>
      <c r="AL38" s="2647"/>
      <c r="AM38" s="2647"/>
      <c r="AN38" s="2495" t="s">
        <v>435</v>
      </c>
      <c r="AO38" s="2605"/>
      <c r="AP38" s="2496"/>
      <c r="AQ38" s="2581"/>
      <c r="AR38" s="2584"/>
      <c r="AS38" s="2435"/>
      <c r="AY38" s="1071">
        <v>19</v>
      </c>
    </row>
    <row r="39" spans="1:51" s="2360" customFormat="1" ht="19.899999999999999" customHeight="1">
      <c r="A39" s="1282"/>
      <c r="B39" s="1282"/>
      <c r="C39" s="1282"/>
      <c r="D39" s="1282"/>
      <c r="E39" s="1282"/>
      <c r="F39" s="1282"/>
      <c r="G39" s="1282"/>
      <c r="H39" s="1282"/>
      <c r="I39" s="1282"/>
      <c r="J39" s="1282"/>
      <c r="K39" s="1282"/>
      <c r="L39" s="1860"/>
      <c r="M39" s="1278"/>
      <c r="N39" s="1278"/>
      <c r="O39" s="1278"/>
      <c r="P39" s="1874"/>
      <c r="Q39" s="312"/>
      <c r="R39" s="312"/>
      <c r="S39" s="2576"/>
      <c r="T39" s="2524"/>
      <c r="U39" s="953"/>
      <c r="V39" s="2435"/>
      <c r="W39" s="2647" t="s">
        <v>534</v>
      </c>
      <c r="X39" s="2647" t="s">
        <v>535</v>
      </c>
      <c r="Y39" s="2647"/>
      <c r="Z39" s="2647" t="s">
        <v>536</v>
      </c>
      <c r="AA39" s="2647" t="s">
        <v>535</v>
      </c>
      <c r="AB39" s="2647"/>
      <c r="AC39" s="2500"/>
      <c r="AD39" s="2606"/>
      <c r="AE39" s="2501"/>
      <c r="AF39" s="2581"/>
      <c r="AG39" s="2435"/>
      <c r="AH39" s="2647" t="s">
        <v>534</v>
      </c>
      <c r="AI39" s="2647" t="s">
        <v>535</v>
      </c>
      <c r="AJ39" s="2647"/>
      <c r="AK39" s="2647" t="s">
        <v>536</v>
      </c>
      <c r="AL39" s="2647" t="s">
        <v>535</v>
      </c>
      <c r="AM39" s="2647"/>
      <c r="AN39" s="2500"/>
      <c r="AO39" s="2606"/>
      <c r="AP39" s="2501"/>
      <c r="AQ39" s="2581"/>
      <c r="AR39" s="2584"/>
      <c r="AS39" s="2435"/>
      <c r="AT39" s="1552"/>
      <c r="AU39" s="1552"/>
      <c r="AV39" s="1552"/>
      <c r="AW39" s="1552"/>
      <c r="AX39" s="1552"/>
      <c r="AY39" s="1547">
        <v>19</v>
      </c>
    </row>
    <row r="40" spans="1:51" ht="61.9" customHeight="1">
      <c r="A40" s="1286"/>
      <c r="B40" s="1286" t="s">
        <v>136</v>
      </c>
      <c r="C40" s="1286" t="s">
        <v>137</v>
      </c>
      <c r="D40" s="1286" t="s">
        <v>138</v>
      </c>
      <c r="E40" s="1280" t="s">
        <v>436</v>
      </c>
      <c r="F40" s="1280" t="s">
        <v>437</v>
      </c>
      <c r="G40" s="1280" t="s">
        <v>438</v>
      </c>
      <c r="H40" s="1280"/>
      <c r="I40" s="1280" t="s">
        <v>489</v>
      </c>
      <c r="J40" s="1280" t="s">
        <v>441</v>
      </c>
      <c r="K40" s="1280" t="s">
        <v>490</v>
      </c>
      <c r="L40" s="1280" t="s">
        <v>417</v>
      </c>
      <c r="Q40" s="312"/>
      <c r="R40" s="312"/>
      <c r="S40" s="2576"/>
      <c r="T40" s="2524"/>
      <c r="U40" s="239"/>
      <c r="V40" s="2435"/>
      <c r="W40" s="2647"/>
      <c r="X40" s="1892" t="s">
        <v>537</v>
      </c>
      <c r="Y40" s="1892" t="s">
        <v>538</v>
      </c>
      <c r="Z40" s="2647"/>
      <c r="AA40" s="1892" t="s">
        <v>539</v>
      </c>
      <c r="AB40" s="1892" t="s">
        <v>540</v>
      </c>
      <c r="AC40" s="1405" t="s">
        <v>445</v>
      </c>
      <c r="AD40" s="2529" t="s">
        <v>446</v>
      </c>
      <c r="AE40" s="2543"/>
      <c r="AF40" s="2582"/>
      <c r="AG40" s="2435"/>
      <c r="AH40" s="2647"/>
      <c r="AI40" s="1892" t="s">
        <v>537</v>
      </c>
      <c r="AJ40" s="1892" t="s">
        <v>538</v>
      </c>
      <c r="AK40" s="2647"/>
      <c r="AL40" s="1892" t="s">
        <v>539</v>
      </c>
      <c r="AM40" s="1892" t="s">
        <v>540</v>
      </c>
      <c r="AN40" s="1405" t="s">
        <v>445</v>
      </c>
      <c r="AO40" s="2529" t="s">
        <v>446</v>
      </c>
      <c r="AP40" s="2543"/>
      <c r="AQ40" s="2582"/>
      <c r="AR40" s="2585"/>
      <c r="AS40" s="2435"/>
      <c r="AY40" s="1071">
        <v>59</v>
      </c>
    </row>
    <row r="41" spans="1:51" s="2335"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109</v>
      </c>
      <c r="T41" s="1171" t="s">
        <v>110</v>
      </c>
      <c r="U41" s="1161" t="str">
        <f ca="1">OFFSET(U41,0,-1)</f>
        <v>2</v>
      </c>
      <c r="V41" s="1398">
        <f ca="1">OFFSET(V41,0,-1)+1</f>
        <v>3</v>
      </c>
      <c r="W41" s="1257"/>
      <c r="X41" s="1257"/>
      <c r="Y41" s="1257"/>
      <c r="Z41" s="1257"/>
      <c r="AA41" s="1257"/>
      <c r="AB41" s="1257"/>
      <c r="AC41" s="1398">
        <f ca="1">OFFSET(AC41,0,-1)+1</f>
        <v>1</v>
      </c>
      <c r="AD41" s="2574">
        <f ca="1">OFFSET(AD41,0,-1)+1</f>
        <v>2</v>
      </c>
      <c r="AE41" s="2574"/>
      <c r="AF41" s="1398">
        <f ca="1">OFFSET(AF41,0,-2)+1</f>
        <v>3</v>
      </c>
      <c r="AG41" s="1398">
        <f ca="1">OFFSET(AG41,0,-1)+1</f>
        <v>4</v>
      </c>
      <c r="AH41" s="1865"/>
      <c r="AI41" s="1865"/>
      <c r="AJ41" s="1865"/>
      <c r="AK41" s="1865"/>
      <c r="AL41" s="1865"/>
      <c r="AM41" s="1398">
        <f ca="1">OFFSET(AM41,0,-1)+1</f>
        <v>1</v>
      </c>
      <c r="AN41" s="1398">
        <f ca="1">OFFSET(AN41,0,-1)+1</f>
        <v>2</v>
      </c>
      <c r="AO41" s="2574">
        <f ca="1">OFFSET(AO41,0,-1)+1</f>
        <v>3</v>
      </c>
      <c r="AP41" s="2574"/>
      <c r="AQ41" s="1398">
        <f ca="1">OFFSET(AQ41,0,-2)+1</f>
        <v>4</v>
      </c>
      <c r="AR41" s="1161">
        <f ca="1">OFFSET(AR41,0,-1)</f>
        <v>4</v>
      </c>
      <c r="AS41" s="1398">
        <f ca="1">OFFSET(AS41,0,-1)+1</f>
        <v>5</v>
      </c>
      <c r="AT41" s="447"/>
      <c r="AU41" s="447"/>
      <c r="AV41" s="447"/>
      <c r="AW41" s="447"/>
      <c r="AX41" s="447"/>
      <c r="AY41" s="432">
        <v>0</v>
      </c>
    </row>
    <row r="42" spans="1:51" ht="24" customHeight="1">
      <c r="A42" s="1279" t="s">
        <v>250</v>
      </c>
      <c r="B42" s="1279"/>
      <c r="C42" s="1279"/>
      <c r="D42" s="1279"/>
      <c r="E42" s="2563">
        <v>1</v>
      </c>
      <c r="F42" s="1279"/>
      <c r="G42" s="1279"/>
      <c r="H42" s="1279"/>
      <c r="I42" s="1279"/>
      <c r="J42" s="1279"/>
      <c r="K42" s="1279"/>
      <c r="L42" s="1280"/>
      <c r="M42" s="1281"/>
      <c r="N42" s="1281"/>
      <c r="O42" s="1281"/>
      <c r="P42" s="297"/>
      <c r="Q42" s="296"/>
      <c r="R42" s="291"/>
      <c r="S42" s="1409">
        <f>INDEX(PT_DIFFERENTIATION_NUM_NTAR,MATCH(A42,PT_DIFFERENTIATION_NTAR_ID,0))</f>
        <v>0</v>
      </c>
      <c r="T42" s="235" t="s">
        <v>124</v>
      </c>
      <c r="U42" s="237"/>
      <c r="V42" s="2557"/>
      <c r="W42" s="2558"/>
      <c r="X42" s="2558"/>
      <c r="Y42" s="2558"/>
      <c r="Z42" s="2558"/>
      <c r="AA42" s="2558"/>
      <c r="AB42" s="2558"/>
      <c r="AC42" s="2558"/>
      <c r="AD42" s="2558"/>
      <c r="AE42" s="2558"/>
      <c r="AF42" s="2559"/>
      <c r="AG42" s="2557" t="str">
        <f>INDEX(PT_DIFFERENTIATION_NTAR,MATCH(A42,PT_DIFFERENTIATION_NTAR_ID,0))</f>
        <v/>
      </c>
      <c r="AH42" s="2558"/>
      <c r="AI42" s="2558"/>
      <c r="AJ42" s="2558"/>
      <c r="AK42" s="2558"/>
      <c r="AL42" s="2558"/>
      <c r="AM42" s="2558"/>
      <c r="AN42" s="2558"/>
      <c r="AO42" s="2558"/>
      <c r="AP42" s="2558"/>
      <c r="AQ42" s="2558"/>
      <c r="AR42" s="2559"/>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1">
        <v>23</v>
      </c>
    </row>
    <row r="43" spans="1:51" ht="24" customHeight="1">
      <c r="A43" s="1279" t="s">
        <v>250</v>
      </c>
      <c r="B43" s="1279" t="s">
        <v>251</v>
      </c>
      <c r="C43" s="1279"/>
      <c r="D43" s="1279"/>
      <c r="E43" s="2564"/>
      <c r="F43" s="2563">
        <v>1</v>
      </c>
      <c r="G43" s="1279"/>
      <c r="H43" s="1279"/>
      <c r="I43" s="1279"/>
      <c r="J43" s="1279"/>
      <c r="K43" s="1279"/>
      <c r="L43" s="1280"/>
      <c r="M43" s="1281"/>
      <c r="N43" s="1281"/>
      <c r="O43" s="1281"/>
      <c r="P43" s="1403"/>
      <c r="Q43" s="288"/>
      <c r="R43" s="289"/>
      <c r="S43" s="1409" t="str">
        <f>INDEX(PT_DIFFERENTIATION_NUM_TER,MATCH(B43,PT_DIFFERENTIATION_TER_ID,0))</f>
        <v>.</v>
      </c>
      <c r="T43" s="245" t="s">
        <v>396</v>
      </c>
      <c r="U43" s="237"/>
      <c r="V43" s="2557"/>
      <c r="W43" s="2558"/>
      <c r="X43" s="2558"/>
      <c r="Y43" s="2558"/>
      <c r="Z43" s="2558"/>
      <c r="AA43" s="2558"/>
      <c r="AB43" s="2558"/>
      <c r="AC43" s="2558"/>
      <c r="AD43" s="2558"/>
      <c r="AE43" s="2558"/>
      <c r="AF43" s="2559"/>
      <c r="AG43" s="2557" t="str">
        <f>INDEX(PT_DIFFERENTIATION_TER,MATCH(B43,PT_DIFFERENTIATION_TER_ID,0))</f>
        <v/>
      </c>
      <c r="AH43" s="2558"/>
      <c r="AI43" s="2558"/>
      <c r="AJ43" s="2558"/>
      <c r="AK43" s="2558"/>
      <c r="AL43" s="2558"/>
      <c r="AM43" s="2558"/>
      <c r="AN43" s="2558"/>
      <c r="AO43" s="2558"/>
      <c r="AP43" s="2558"/>
      <c r="AQ43" s="2558"/>
      <c r="AR43" s="2559"/>
      <c r="AS43" s="1174" t="s">
        <v>397</v>
      </c>
      <c r="AU43" s="436"/>
      <c r="AV43" s="436" t="str">
        <f t="shared" si="1"/>
        <v>Территория действия тарифа</v>
      </c>
      <c r="AW43" s="436"/>
      <c r="AX43" s="436"/>
      <c r="AY43" s="1071">
        <v>23</v>
      </c>
    </row>
    <row r="44" spans="1:51" ht="24" customHeight="1">
      <c r="A44" s="1279" t="s">
        <v>250</v>
      </c>
      <c r="B44" s="1279" t="s">
        <v>251</v>
      </c>
      <c r="C44" s="1279" t="s">
        <v>252</v>
      </c>
      <c r="D44" s="1279"/>
      <c r="E44" s="2564"/>
      <c r="F44" s="2564"/>
      <c r="G44" s="2563">
        <v>1</v>
      </c>
      <c r="H44" s="1279"/>
      <c r="I44" s="1279"/>
      <c r="J44" s="1279"/>
      <c r="K44" s="1279"/>
      <c r="L44" s="1280"/>
      <c r="M44" s="1281"/>
      <c r="N44" s="1281"/>
      <c r="O44" s="1281"/>
      <c r="P44" s="290"/>
      <c r="Q44" s="288"/>
      <c r="R44" s="289"/>
      <c r="S44" s="1409" t="str">
        <f>INDEX(PT_DIFFERENTIATION_NUM_CS,MATCH(C44,PT_DIFFERENTIATION_CS_ID,0))</f>
        <v>..</v>
      </c>
      <c r="T44" s="246" t="s">
        <v>529</v>
      </c>
      <c r="U44" s="237"/>
      <c r="V44" s="2557"/>
      <c r="W44" s="2558"/>
      <c r="X44" s="2558"/>
      <c r="Y44" s="2558"/>
      <c r="Z44" s="2558"/>
      <c r="AA44" s="2558"/>
      <c r="AB44" s="2558"/>
      <c r="AC44" s="2558"/>
      <c r="AD44" s="2558"/>
      <c r="AE44" s="2558"/>
      <c r="AF44" s="2559"/>
      <c r="AG44" s="2557" t="str">
        <f>INDEX(PT_DIFFERENTIATION_CS,MATCH(C44,PT_DIFFERENTIATION_CS_ID,0))</f>
        <v/>
      </c>
      <c r="AH44" s="2558"/>
      <c r="AI44" s="2558"/>
      <c r="AJ44" s="2558"/>
      <c r="AK44" s="2558"/>
      <c r="AL44" s="2558"/>
      <c r="AM44" s="2558"/>
      <c r="AN44" s="2558"/>
      <c r="AO44" s="2558"/>
      <c r="AP44" s="2558"/>
      <c r="AQ44" s="2558"/>
      <c r="AR44" s="2559"/>
      <c r="AS44" s="1174" t="s">
        <v>530</v>
      </c>
      <c r="AU44" s="436"/>
      <c r="AV44" s="436" t="str">
        <f t="shared" si="1"/>
        <v>Наименование централизованной системы горячего водоснабжения</v>
      </c>
      <c r="AW44" s="436"/>
      <c r="AX44" s="436"/>
      <c r="AY44" s="1071">
        <v>23</v>
      </c>
    </row>
    <row r="45" spans="1:51" ht="24" customHeight="1">
      <c r="A45" s="1279" t="s">
        <v>250</v>
      </c>
      <c r="B45" s="1279" t="s">
        <v>251</v>
      </c>
      <c r="C45" s="1279" t="s">
        <v>252</v>
      </c>
      <c r="D45" s="1279" t="s">
        <v>541</v>
      </c>
      <c r="E45" s="2564"/>
      <c r="F45" s="2564"/>
      <c r="G45" s="2564"/>
      <c r="H45" s="2564"/>
      <c r="I45" s="2565" t="str">
        <f>S44&amp;".1"</f>
        <v>...1</v>
      </c>
      <c r="J45" s="1279"/>
      <c r="K45" s="1279"/>
      <c r="L45" s="1280"/>
      <c r="P45" s="2567">
        <v>1</v>
      </c>
      <c r="Q45" s="1397"/>
      <c r="R45" s="292"/>
      <c r="S45" s="1409" t="str">
        <f>$I45</f>
        <v>...1</v>
      </c>
      <c r="T45" s="222" t="s">
        <v>482</v>
      </c>
      <c r="U45" s="237"/>
      <c r="V45" s="2631"/>
      <c r="W45" s="2632"/>
      <c r="X45" s="2632"/>
      <c r="Y45" s="2632"/>
      <c r="Z45" s="2632"/>
      <c r="AA45" s="2632"/>
      <c r="AB45" s="2632"/>
      <c r="AC45" s="2632"/>
      <c r="AD45" s="2632"/>
      <c r="AE45" s="2632"/>
      <c r="AF45" s="2633"/>
      <c r="AG45" s="2634"/>
      <c r="AH45" s="2635"/>
      <c r="AI45" s="2635"/>
      <c r="AJ45" s="2635"/>
      <c r="AK45" s="2635"/>
      <c r="AL45" s="2635"/>
      <c r="AM45" s="2635"/>
      <c r="AN45" s="2635"/>
      <c r="AO45" s="2635"/>
      <c r="AP45" s="2635"/>
      <c r="AQ45" s="2635"/>
      <c r="AR45" s="2636"/>
      <c r="AS45" s="1174" t="s">
        <v>483</v>
      </c>
      <c r="AU45" s="436"/>
      <c r="AV45" s="436" t="str">
        <f t="shared" si="1"/>
        <v>Наименование признака дифференциации</v>
      </c>
      <c r="AW45" s="436"/>
      <c r="AX45" s="436"/>
      <c r="AY45" s="1071">
        <v>23</v>
      </c>
    </row>
    <row r="46" spans="1:51" ht="24" customHeight="1">
      <c r="A46" s="1279" t="s">
        <v>250</v>
      </c>
      <c r="B46" s="1279" t="s">
        <v>251</v>
      </c>
      <c r="C46" s="1279" t="s">
        <v>252</v>
      </c>
      <c r="D46" s="1279" t="s">
        <v>541</v>
      </c>
      <c r="E46" s="2564"/>
      <c r="F46" s="2564"/>
      <c r="G46" s="2564"/>
      <c r="H46" s="2564"/>
      <c r="I46" s="2566"/>
      <c r="J46" s="2565" t="str">
        <f>I45&amp;".1"</f>
        <v>...1.1</v>
      </c>
      <c r="K46" s="1279"/>
      <c r="L46" s="1280" t="s">
        <v>405</v>
      </c>
      <c r="P46" s="2567"/>
      <c r="Q46" s="2567">
        <v>1</v>
      </c>
      <c r="R46" s="293"/>
      <c r="S46" s="1409" t="str">
        <f>$J46</f>
        <v>...1.1</v>
      </c>
      <c r="T46" s="223" t="s">
        <v>406</v>
      </c>
      <c r="U46" s="237"/>
      <c r="V46" s="2551"/>
      <c r="W46" s="2552"/>
      <c r="X46" s="2552"/>
      <c r="Y46" s="2552"/>
      <c r="Z46" s="2552"/>
      <c r="AA46" s="2552"/>
      <c r="AB46" s="2552"/>
      <c r="AC46" s="2552"/>
      <c r="AD46" s="2552"/>
      <c r="AE46" s="2552"/>
      <c r="AF46" s="2553"/>
      <c r="AG46" s="2551"/>
      <c r="AH46" s="2552"/>
      <c r="AI46" s="2552"/>
      <c r="AJ46" s="2552"/>
      <c r="AK46" s="2552"/>
      <c r="AL46" s="2552"/>
      <c r="AM46" s="2552"/>
      <c r="AN46" s="2552"/>
      <c r="AO46" s="2552"/>
      <c r="AP46" s="2552"/>
      <c r="AQ46" s="2552"/>
      <c r="AR46" s="2553"/>
      <c r="AS46" s="1223" t="s">
        <v>484</v>
      </c>
      <c r="AU46" s="436"/>
      <c r="AV46" s="436" t="str">
        <f t="shared" si="1"/>
        <v>Группа потребителей</v>
      </c>
      <c r="AW46" s="436"/>
      <c r="AX46" s="436"/>
      <c r="AY46" s="1071">
        <v>23</v>
      </c>
    </row>
    <row r="47" spans="1:51" ht="24" customHeight="1">
      <c r="A47" s="1279" t="s">
        <v>250</v>
      </c>
      <c r="B47" s="1279" t="s">
        <v>251</v>
      </c>
      <c r="C47" s="1279" t="s">
        <v>252</v>
      </c>
      <c r="D47" s="1279" t="s">
        <v>541</v>
      </c>
      <c r="E47" s="2564"/>
      <c r="F47" s="2564"/>
      <c r="G47" s="2564"/>
      <c r="H47" s="2564"/>
      <c r="I47" s="2566"/>
      <c r="J47" s="2566"/>
      <c r="K47" s="2565" t="str">
        <f>J46&amp;".1"</f>
        <v>...1.1.1</v>
      </c>
      <c r="L47" s="1280"/>
      <c r="P47" s="2567"/>
      <c r="Q47" s="2567"/>
      <c r="R47" s="293">
        <v>1</v>
      </c>
      <c r="S47" s="1409" t="str">
        <f>$K47</f>
        <v>...1.1.1</v>
      </c>
      <c r="T47" s="1353"/>
      <c r="U47" s="237"/>
      <c r="V47" s="687"/>
      <c r="W47" s="687"/>
      <c r="X47" s="687"/>
      <c r="Y47" s="687"/>
      <c r="Z47" s="687"/>
      <c r="AA47" s="687"/>
      <c r="AB47" s="687"/>
      <c r="AC47" s="2561"/>
      <c r="AD47" s="2560" t="s">
        <v>62</v>
      </c>
      <c r="AE47" s="2561"/>
      <c r="AF47" s="2560" t="s">
        <v>62</v>
      </c>
      <c r="AG47" s="687"/>
      <c r="AH47" s="687"/>
      <c r="AI47" s="687"/>
      <c r="AJ47" s="687"/>
      <c r="AK47" s="687"/>
      <c r="AL47" s="687"/>
      <c r="AM47" s="687"/>
      <c r="AN47" s="2568"/>
      <c r="AO47" s="2445" t="s">
        <v>62</v>
      </c>
      <c r="AP47" s="2570"/>
      <c r="AQ47" s="2445" t="s">
        <v>19</v>
      </c>
      <c r="AR47" s="1354"/>
      <c r="AS4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1">
        <v>23</v>
      </c>
    </row>
    <row r="48" spans="1:51" ht="0" hidden="1" customHeight="1">
      <c r="A48" s="1279" t="s">
        <v>250</v>
      </c>
      <c r="B48" s="1279" t="s">
        <v>251</v>
      </c>
      <c r="C48" s="1279" t="s">
        <v>252</v>
      </c>
      <c r="D48" s="1279" t="s">
        <v>541</v>
      </c>
      <c r="E48" s="2564"/>
      <c r="F48" s="2564"/>
      <c r="G48" s="2564"/>
      <c r="H48" s="2564"/>
      <c r="I48" s="2566"/>
      <c r="J48" s="2566"/>
      <c r="K48" s="2565"/>
      <c r="L48" s="1280"/>
      <c r="P48" s="2567"/>
      <c r="Q48" s="2567"/>
      <c r="R48" s="293"/>
      <c r="S48" s="1406"/>
      <c r="T48" s="237"/>
      <c r="U48" s="237"/>
      <c r="V48" s="1276"/>
      <c r="W48" s="1276"/>
      <c r="X48" s="1276"/>
      <c r="Y48" s="1276"/>
      <c r="Z48" s="1276"/>
      <c r="AA48" s="1276"/>
      <c r="AB48" s="1276"/>
      <c r="AC48" s="2560"/>
      <c r="AD48" s="2560"/>
      <c r="AE48" s="2560"/>
      <c r="AF48" s="2560"/>
      <c r="AG48" s="262"/>
      <c r="AH48" s="262"/>
      <c r="AI48" s="262"/>
      <c r="AJ48" s="262"/>
      <c r="AK48" s="262"/>
      <c r="AL48" s="262"/>
      <c r="AM48" s="262"/>
      <c r="AN48" s="2569"/>
      <c r="AO48" s="2445"/>
      <c r="AP48" s="2571"/>
      <c r="AQ48" s="2445"/>
      <c r="AR48" s="1355"/>
      <c r="AS48" s="2637"/>
      <c r="AU48" s="436"/>
      <c r="AV48" s="436" t="str">
        <f t="shared" si="1"/>
        <v/>
      </c>
      <c r="AW48" s="436"/>
      <c r="AX48" s="436"/>
      <c r="AY48" s="1071">
        <v>0</v>
      </c>
    </row>
    <row r="49" spans="1:51" ht="21" customHeight="1">
      <c r="A49" s="1279" t="s">
        <v>250</v>
      </c>
      <c r="B49" s="1279" t="s">
        <v>251</v>
      </c>
      <c r="C49" s="1279" t="s">
        <v>252</v>
      </c>
      <c r="D49" s="1279" t="s">
        <v>541</v>
      </c>
      <c r="E49" s="2564"/>
      <c r="F49" s="2564"/>
      <c r="G49" s="2564"/>
      <c r="H49" s="2564"/>
      <c r="I49" s="2566"/>
      <c r="J49" s="2565"/>
      <c r="K49" s="1279"/>
      <c r="L49" s="1280"/>
      <c r="P49" s="2567"/>
      <c r="Q49" s="2567"/>
      <c r="R49" s="292"/>
      <c r="S49" s="119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4" t="s">
        <v>486</v>
      </c>
      <c r="AU49" s="436"/>
      <c r="AV49" s="436" t="str">
        <f t="shared" si="1"/>
        <v>Добавить значение признака дифференциации</v>
      </c>
      <c r="AW49" s="436"/>
      <c r="AX49" s="436"/>
      <c r="AY49" s="1071">
        <v>20</v>
      </c>
    </row>
    <row r="50" spans="1:51" ht="21.95" customHeight="1">
      <c r="A50" s="1279" t="s">
        <v>250</v>
      </c>
      <c r="B50" s="1279" t="s">
        <v>251</v>
      </c>
      <c r="C50" s="1279" t="s">
        <v>252</v>
      </c>
      <c r="D50" s="1279" t="s">
        <v>541</v>
      </c>
      <c r="E50" s="2564"/>
      <c r="F50" s="2564"/>
      <c r="G50" s="2564"/>
      <c r="H50" s="2564"/>
      <c r="I50" s="2565"/>
      <c r="J50" s="1279"/>
      <c r="K50" s="1279"/>
      <c r="L50" s="1280"/>
      <c r="P50" s="2567"/>
      <c r="Q50" s="1397"/>
      <c r="R50" s="292"/>
      <c r="S50" s="119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6"/>
      <c r="AU50" s="436"/>
      <c r="AV50" s="436" t="str">
        <f t="shared" si="1"/>
        <v>Добавить группу потребителей</v>
      </c>
      <c r="AW50" s="436"/>
      <c r="AX50" s="436"/>
      <c r="AY50" s="1071">
        <v>21</v>
      </c>
    </row>
    <row r="51" spans="1:51" ht="21.95" customHeight="1">
      <c r="A51" s="1279" t="s">
        <v>250</v>
      </c>
      <c r="B51" s="1279" t="s">
        <v>251</v>
      </c>
      <c r="C51" s="1279" t="s">
        <v>252</v>
      </c>
      <c r="D51" s="1279" t="s">
        <v>541</v>
      </c>
      <c r="E51" s="2564"/>
      <c r="F51" s="2564"/>
      <c r="G51" s="2564"/>
      <c r="H51" s="2563"/>
      <c r="I51" s="1279"/>
      <c r="J51" s="1279"/>
      <c r="K51" s="1279"/>
      <c r="L51" s="1280"/>
      <c r="M51" s="1281"/>
      <c r="N51" s="1281"/>
      <c r="O51" s="473"/>
      <c r="P51" s="296"/>
      <c r="Q51" s="311"/>
      <c r="R51" s="291"/>
      <c r="S51" s="119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1">
        <v>21</v>
      </c>
    </row>
    <row r="52" spans="1:51" s="2344" customFormat="1" ht="0" hidden="1" customHeight="1">
      <c r="A52" s="1259" t="s">
        <v>250</v>
      </c>
      <c r="B52" s="1259" t="s">
        <v>251</v>
      </c>
      <c r="C52" s="1230"/>
      <c r="D52" s="1230"/>
      <c r="E52" s="2564"/>
      <c r="F52" s="2563"/>
      <c r="G52" s="1230"/>
      <c r="H52" s="1230"/>
      <c r="I52" s="1230"/>
      <c r="J52" s="1230"/>
      <c r="K52" s="1230"/>
      <c r="L52" s="1410"/>
      <c r="M52" s="1237"/>
      <c r="N52" s="1237"/>
      <c r="P52" s="1232"/>
      <c r="Q52" s="1233"/>
      <c r="R52" s="1232"/>
      <c r="S52" s="1238"/>
      <c r="T52" s="1241" t="s">
        <v>414</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9"/>
      <c r="AV52" s="719" t="str">
        <f t="shared" si="1"/>
        <v>Добавить централизованную систему для дифференциации</v>
      </c>
      <c r="AW52" s="719"/>
      <c r="AX52" s="719"/>
      <c r="AY52" s="454">
        <v>0</v>
      </c>
    </row>
    <row r="53" spans="1:51" s="2344" customFormat="1" ht="0" hidden="1" customHeight="1">
      <c r="A53" s="1259" t="s">
        <v>250</v>
      </c>
      <c r="B53" s="1259"/>
      <c r="C53" s="1259"/>
      <c r="D53" s="1259"/>
      <c r="E53" s="2563"/>
      <c r="F53" s="1259"/>
      <c r="G53" s="1259"/>
      <c r="H53" s="1259"/>
      <c r="I53" s="1259"/>
      <c r="J53" s="1259"/>
      <c r="K53" s="1259"/>
      <c r="L53" s="1262"/>
      <c r="M53" s="1237"/>
      <c r="N53" s="1237"/>
      <c r="O53" s="454"/>
      <c r="P53" s="316"/>
      <c r="Q53" s="1260"/>
      <c r="R53" s="316"/>
      <c r="S53" s="1238"/>
      <c r="T53" s="1241" t="s">
        <v>415</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6"/>
      <c r="AV53" s="436" t="str">
        <f t="shared" si="1"/>
        <v>Добавить территорию для дифференциации</v>
      </c>
      <c r="AW53" s="436"/>
      <c r="AX53" s="436"/>
      <c r="AY53" s="447">
        <v>0</v>
      </c>
    </row>
    <row r="54" spans="1:51" s="2344"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447</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9"/>
      <c r="AV54" s="719" t="str">
        <f t="shared" si="1"/>
        <v>Добавить наименование тарифа</v>
      </c>
      <c r="AW54" s="719"/>
      <c r="AX54" s="719"/>
      <c r="AY54" s="454">
        <v>0</v>
      </c>
    </row>
    <row r="55" spans="1:51" ht="11.45" customHeight="1">
      <c r="M55" s="1076"/>
      <c r="N55" s="1076"/>
      <c r="O55" s="473"/>
      <c r="P55" s="1071"/>
      <c r="Q55" s="1071"/>
      <c r="R55" s="1071"/>
      <c r="S55" s="1071"/>
      <c r="AT55" s="1071"/>
      <c r="AU55" s="1071"/>
      <c r="AV55" s="1071"/>
      <c r="AW55" s="1071"/>
      <c r="AX55" s="1071"/>
      <c r="AY55" s="1071">
        <v>11</v>
      </c>
    </row>
    <row r="56" spans="1:51" ht="14.65" customHeight="1">
      <c r="O56" s="473"/>
      <c r="S56" s="1169"/>
      <c r="T56" s="2562"/>
      <c r="U56" s="2562"/>
      <c r="V56" s="2562"/>
      <c r="W56" s="2562"/>
      <c r="X56" s="2562"/>
      <c r="Y56" s="2562"/>
      <c r="Z56" s="2562"/>
      <c r="AA56" s="2562"/>
      <c r="AB56" s="2562"/>
      <c r="AC56" s="2562"/>
      <c r="AD56" s="2562"/>
      <c r="AE56" s="2562"/>
      <c r="AF56" s="2562"/>
      <c r="AG56" s="2562"/>
      <c r="AH56" s="2562"/>
      <c r="AI56" s="2562"/>
      <c r="AJ56" s="2562"/>
      <c r="AK56" s="2562"/>
      <c r="AL56" s="2562"/>
      <c r="AM56" s="2562"/>
      <c r="AN56" s="2562"/>
      <c r="AO56" s="2562"/>
      <c r="AP56" s="2562"/>
      <c r="AQ56" s="2562"/>
      <c r="AR56" s="2562"/>
      <c r="AS56" s="2562"/>
      <c r="AY56" s="1071">
        <v>14</v>
      </c>
    </row>
    <row r="57" spans="1:51" ht="14.65" customHeight="1">
      <c r="O57" s="473"/>
      <c r="AY57" s="1071">
        <v>14</v>
      </c>
    </row>
    <row r="58" spans="1:51" ht="14.65" customHeight="1">
      <c r="O58" s="473"/>
      <c r="S58" s="1169"/>
      <c r="T58" s="2562"/>
      <c r="U58" s="2562"/>
      <c r="V58" s="2562"/>
      <c r="W58" s="2562"/>
      <c r="X58" s="2562"/>
      <c r="Y58" s="2562"/>
      <c r="Z58" s="2562"/>
      <c r="AA58" s="2562"/>
      <c r="AB58" s="2562"/>
      <c r="AC58" s="2562"/>
      <c r="AD58" s="2562"/>
      <c r="AE58" s="2562"/>
      <c r="AF58" s="2562"/>
      <c r="AG58" s="2562"/>
      <c r="AH58" s="2562"/>
      <c r="AI58" s="2562"/>
      <c r="AJ58" s="2562"/>
      <c r="AK58" s="2562"/>
      <c r="AL58" s="2562"/>
      <c r="AM58" s="2562"/>
      <c r="AN58" s="2562"/>
      <c r="AO58" s="2562"/>
      <c r="AP58" s="2562"/>
      <c r="AQ58" s="2562"/>
      <c r="AR58" s="2562"/>
      <c r="AS58" s="2562"/>
      <c r="AY58" s="1071">
        <v>14</v>
      </c>
    </row>
    <row r="59" spans="1:51" ht="22.5" hidden="1" customHeight="1">
      <c r="A59" s="1076" t="s">
        <v>82</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81">
        <v>3</v>
      </c>
      <c r="R59" s="281">
        <v>3</v>
      </c>
      <c r="S59" s="517">
        <v>12</v>
      </c>
      <c r="T59" s="1071">
        <v>35</v>
      </c>
      <c r="U59" s="1071">
        <v>0</v>
      </c>
      <c r="V59" s="1071">
        <v>0</v>
      </c>
      <c r="W59" s="1547">
        <v>0</v>
      </c>
      <c r="X59" s="1547">
        <v>0</v>
      </c>
      <c r="Y59" s="1547">
        <v>0</v>
      </c>
      <c r="Z59" s="1547">
        <v>0</v>
      </c>
      <c r="AA59" s="1547">
        <v>0</v>
      </c>
      <c r="AB59" s="1547">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7">
        <v>10</v>
      </c>
      <c r="AU59" s="447">
        <v>10</v>
      </c>
      <c r="AV59" s="447">
        <v>10</v>
      </c>
      <c r="AW59" s="447">
        <v>10</v>
      </c>
      <c r="AX59" s="447">
        <v>10</v>
      </c>
      <c r="AY59" s="107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4.140625" style="2357" hidden="1" customWidth="1"/>
    <col min="10" max="10" width="9.85546875" style="2357" hidden="1" customWidth="1"/>
    <col min="11" max="11" width="14.7109375" style="2357" hidden="1" customWidth="1"/>
    <col min="12" max="12" width="19.140625" style="2389" hidden="1" customWidth="1"/>
    <col min="13" max="14" width="12.28515625" style="2336" hidden="1" customWidth="1"/>
    <col min="15" max="15" width="23.42578125" style="2336" hidden="1" customWidth="1"/>
    <col min="16" max="16" width="3" style="2392" customWidth="1"/>
    <col min="17" max="18" width="3" style="2359" customWidth="1"/>
    <col min="19" max="19" width="12" style="2387" customWidth="1"/>
    <col min="20" max="20" width="35" style="2360" customWidth="1"/>
    <col min="21" max="21" width="0.140625" style="2360" customWidth="1"/>
    <col min="22" max="28" width="19.7109375" style="2360" hidden="1" customWidth="1"/>
    <col min="29" max="29" width="11.7109375" style="2360" hidden="1" customWidth="1"/>
    <col min="30" max="30" width="3.7109375" style="2360" hidden="1" customWidth="1"/>
    <col min="31" max="31" width="11.7109375" style="2360" hidden="1" customWidth="1"/>
    <col min="32" max="32" width="8.5703125" style="2360" hidden="1" customWidth="1"/>
    <col min="33" max="33" width="19.7109375" style="2360" customWidth="1"/>
    <col min="34" max="39" width="19" style="2360" customWidth="1"/>
    <col min="40" max="40" width="11" style="2360" customWidth="1"/>
    <col min="41" max="41" width="3.7109375" style="2360" customWidth="1"/>
    <col min="42" max="42" width="11" style="2360" customWidth="1"/>
    <col min="43" max="43" width="8.5703125" style="2360" hidden="1" customWidth="1"/>
    <col min="44" max="44" width="4" style="2360" customWidth="1"/>
    <col min="45" max="45" width="115" style="2360" customWidth="1"/>
    <col min="46" max="50" width="10" style="2344" customWidth="1"/>
    <col min="51" max="51" width="10.5703125" style="2360" hidden="1"/>
  </cols>
  <sheetData>
    <row r="1" spans="1:51" ht="22.5" hidden="1" customHeight="1">
      <c r="AB1" s="264"/>
      <c r="AC1" s="264"/>
      <c r="AM1" s="264"/>
      <c r="AN1" s="264"/>
      <c r="AY1" s="1071" t="s">
        <v>14</v>
      </c>
    </row>
    <row r="2" spans="1:51" ht="23.25" hidden="1" customHeight="1">
      <c r="A2" s="1279"/>
      <c r="B2" s="1279"/>
      <c r="C2" s="1279"/>
      <c r="D2" s="1279"/>
      <c r="E2" s="2563">
        <v>1</v>
      </c>
      <c r="F2" s="1279"/>
      <c r="G2" s="1279"/>
      <c r="H2" s="1279"/>
      <c r="I2" s="1279"/>
      <c r="J2" s="1279"/>
      <c r="K2" s="1279"/>
      <c r="L2" s="1280"/>
      <c r="M2" s="1281"/>
      <c r="N2" s="1281"/>
      <c r="O2" s="1281"/>
      <c r="P2" s="297"/>
      <c r="Q2" s="296"/>
      <c r="R2" s="291"/>
      <c r="S2" s="1409" t="e">
        <f>INDEX(PT_DIFFERENTIATION_NUM_NTAR,MATCH(A2,PT_DIFFERENTIATION_NTAR_ID,0))</f>
        <v>#N/A</v>
      </c>
      <c r="T2" s="235" t="s">
        <v>124</v>
      </c>
      <c r="U2" s="237"/>
      <c r="V2" s="2557"/>
      <c r="W2" s="2558"/>
      <c r="X2" s="2558"/>
      <c r="Y2" s="2558"/>
      <c r="Z2" s="2558"/>
      <c r="AA2" s="2558"/>
      <c r="AB2" s="2558"/>
      <c r="AC2" s="2558"/>
      <c r="AD2" s="2558"/>
      <c r="AE2" s="2558"/>
      <c r="AF2" s="2559"/>
      <c r="AG2" s="2557" t="e">
        <f>INDEX(PT_DIFFERENTIATION_NTAR,MATCH(A2,PT_DIFFERENTIATION_NTAR_ID,0))</f>
        <v>#N/A</v>
      </c>
      <c r="AH2" s="2558"/>
      <c r="AI2" s="2558"/>
      <c r="AJ2" s="2558"/>
      <c r="AK2" s="2558"/>
      <c r="AL2" s="2558"/>
      <c r="AM2" s="2558"/>
      <c r="AN2" s="2558"/>
      <c r="AO2" s="2558"/>
      <c r="AP2" s="2558"/>
      <c r="AQ2" s="2558"/>
      <c r="AR2" s="2559"/>
      <c r="AS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1">
        <v>0</v>
      </c>
    </row>
    <row r="3" spans="1:51" ht="23.25" hidden="1" customHeight="1">
      <c r="A3" s="1279"/>
      <c r="B3" s="1279"/>
      <c r="C3" s="1279"/>
      <c r="D3" s="1279"/>
      <c r="E3" s="2564"/>
      <c r="F3" s="2563">
        <v>1</v>
      </c>
      <c r="G3" s="1279"/>
      <c r="H3" s="1279"/>
      <c r="I3" s="1279"/>
      <c r="J3" s="1279"/>
      <c r="K3" s="1279"/>
      <c r="L3" s="1280"/>
      <c r="M3" s="1281"/>
      <c r="N3" s="1281"/>
      <c r="O3" s="1281"/>
      <c r="P3" s="1403"/>
      <c r="Q3" s="288"/>
      <c r="R3" s="289"/>
      <c r="S3" s="1409" t="e">
        <f>INDEX(PT_DIFFERENTIATION_NUM_TER,MATCH(B3,PT_DIFFERENTIATION_TER_ID,0))</f>
        <v>#N/A</v>
      </c>
      <c r="T3" s="245" t="s">
        <v>396</v>
      </c>
      <c r="U3" s="237"/>
      <c r="V3" s="2557"/>
      <c r="W3" s="2558"/>
      <c r="X3" s="2558"/>
      <c r="Y3" s="2558"/>
      <c r="Z3" s="2558"/>
      <c r="AA3" s="2558"/>
      <c r="AB3" s="2558"/>
      <c r="AC3" s="2558"/>
      <c r="AD3" s="2558"/>
      <c r="AE3" s="2558"/>
      <c r="AF3" s="2559"/>
      <c r="AG3" s="2557" t="e">
        <f>INDEX(PT_DIFFERENTIATION_TER,MATCH(B3,PT_DIFFERENTIATION_TER_ID,0))</f>
        <v>#N/A</v>
      </c>
      <c r="AH3" s="2558"/>
      <c r="AI3" s="2558"/>
      <c r="AJ3" s="2558"/>
      <c r="AK3" s="2558"/>
      <c r="AL3" s="2558"/>
      <c r="AM3" s="2558"/>
      <c r="AN3" s="2558"/>
      <c r="AO3" s="2558"/>
      <c r="AP3" s="2558"/>
      <c r="AQ3" s="2558"/>
      <c r="AR3" s="2559"/>
      <c r="AS3" s="1174" t="s">
        <v>397</v>
      </c>
      <c r="AU3" s="436"/>
      <c r="AV3" s="436" t="str">
        <f t="shared" si="0"/>
        <v>Территория действия тарифа</v>
      </c>
      <c r="AW3" s="436"/>
      <c r="AX3" s="436"/>
      <c r="AY3" s="1071">
        <v>0</v>
      </c>
    </row>
    <row r="4" spans="1:51" ht="23.25" hidden="1" customHeight="1">
      <c r="A4" s="1279"/>
      <c r="B4" s="1279"/>
      <c r="C4" s="1279"/>
      <c r="D4" s="1279"/>
      <c r="E4" s="2564"/>
      <c r="F4" s="2564"/>
      <c r="G4" s="2563">
        <v>1</v>
      </c>
      <c r="H4" s="1279"/>
      <c r="I4" s="1279"/>
      <c r="J4" s="1279"/>
      <c r="K4" s="1279"/>
      <c r="L4" s="1280"/>
      <c r="M4" s="1281"/>
      <c r="N4" s="1281"/>
      <c r="O4" s="1281"/>
      <c r="P4" s="290"/>
      <c r="Q4" s="288"/>
      <c r="R4" s="289"/>
      <c r="S4" s="1409" t="e">
        <f>INDEX(PT_DIFFERENTIATION_NUM_CS,MATCH(C4,PT_DIFFERENTIATION_CS_ID,0))</f>
        <v>#N/A</v>
      </c>
      <c r="T4" s="246" t="s">
        <v>529</v>
      </c>
      <c r="U4" s="237"/>
      <c r="V4" s="2557"/>
      <c r="W4" s="2558"/>
      <c r="X4" s="2558"/>
      <c r="Y4" s="2558"/>
      <c r="Z4" s="2558"/>
      <c r="AA4" s="2558"/>
      <c r="AB4" s="2558"/>
      <c r="AC4" s="2558"/>
      <c r="AD4" s="2558"/>
      <c r="AE4" s="2558"/>
      <c r="AF4" s="2559"/>
      <c r="AG4" s="2557" t="e">
        <f>INDEX(PT_DIFFERENTIATION_CS,MATCH(C4,PT_DIFFERENTIATION_CS_ID,0))</f>
        <v>#N/A</v>
      </c>
      <c r="AH4" s="2558"/>
      <c r="AI4" s="2558"/>
      <c r="AJ4" s="2558"/>
      <c r="AK4" s="2558"/>
      <c r="AL4" s="2558"/>
      <c r="AM4" s="2558"/>
      <c r="AN4" s="2558"/>
      <c r="AO4" s="2558"/>
      <c r="AP4" s="2558"/>
      <c r="AQ4" s="2558"/>
      <c r="AR4" s="2559"/>
      <c r="AS4" s="1174" t="s">
        <v>530</v>
      </c>
      <c r="AU4" s="436"/>
      <c r="AV4" s="436" t="str">
        <f t="shared" si="0"/>
        <v>Наименование централизованной системы горячего водоснабжения</v>
      </c>
      <c r="AW4" s="436"/>
      <c r="AX4" s="436"/>
      <c r="AY4" s="1071">
        <v>0</v>
      </c>
    </row>
    <row r="5" spans="1:51" ht="23.25" hidden="1" customHeight="1">
      <c r="A5" s="1279"/>
      <c r="B5" s="1279"/>
      <c r="C5" s="1279"/>
      <c r="D5" s="1279"/>
      <c r="E5" s="2564"/>
      <c r="F5" s="2564"/>
      <c r="G5" s="2564"/>
      <c r="H5" s="2564"/>
      <c r="I5" s="2565" t="e">
        <f>S4&amp;".1"</f>
        <v>#N/A</v>
      </c>
      <c r="J5" s="1279"/>
      <c r="K5" s="1279"/>
      <c r="L5" s="1280"/>
      <c r="P5" s="2567">
        <v>1</v>
      </c>
      <c r="Q5" s="1397"/>
      <c r="R5" s="292"/>
      <c r="S5" s="1409" t="e">
        <f>$I5</f>
        <v>#N/A</v>
      </c>
      <c r="T5" s="222" t="s">
        <v>482</v>
      </c>
      <c r="U5" s="237"/>
      <c r="V5" s="2631"/>
      <c r="W5" s="2632"/>
      <c r="X5" s="2632"/>
      <c r="Y5" s="2632"/>
      <c r="Z5" s="2632"/>
      <c r="AA5" s="2632"/>
      <c r="AB5" s="2632"/>
      <c r="AC5" s="2632"/>
      <c r="AD5" s="2632"/>
      <c r="AE5" s="2632"/>
      <c r="AF5" s="2633"/>
      <c r="AG5" s="2634"/>
      <c r="AH5" s="2635"/>
      <c r="AI5" s="2635"/>
      <c r="AJ5" s="2635"/>
      <c r="AK5" s="2635"/>
      <c r="AL5" s="2635"/>
      <c r="AM5" s="2635"/>
      <c r="AN5" s="2635"/>
      <c r="AO5" s="2635"/>
      <c r="AP5" s="2635"/>
      <c r="AQ5" s="2635"/>
      <c r="AR5" s="2636"/>
      <c r="AS5" s="1174" t="s">
        <v>483</v>
      </c>
      <c r="AU5" s="436"/>
      <c r="AV5" s="436" t="str">
        <f t="shared" si="0"/>
        <v>Наименование признака дифференциации</v>
      </c>
      <c r="AW5" s="436"/>
      <c r="AX5" s="436"/>
      <c r="AY5" s="1071">
        <v>0</v>
      </c>
    </row>
    <row r="6" spans="1:51" ht="23.25" hidden="1" customHeight="1">
      <c r="A6" s="1279"/>
      <c r="B6" s="1279"/>
      <c r="C6" s="1279"/>
      <c r="D6" s="1279"/>
      <c r="E6" s="2564"/>
      <c r="F6" s="2564"/>
      <c r="G6" s="2564"/>
      <c r="H6" s="2564"/>
      <c r="I6" s="2566"/>
      <c r="J6" s="2565" t="e">
        <f>I5&amp;".1"</f>
        <v>#N/A</v>
      </c>
      <c r="K6" s="1279"/>
      <c r="L6" s="1280" t="s">
        <v>405</v>
      </c>
      <c r="P6" s="2567"/>
      <c r="Q6" s="2567">
        <v>1</v>
      </c>
      <c r="R6" s="293"/>
      <c r="S6" s="1409" t="e">
        <f>$J6</f>
        <v>#N/A</v>
      </c>
      <c r="T6" s="223" t="s">
        <v>406</v>
      </c>
      <c r="U6" s="237"/>
      <c r="V6" s="2551"/>
      <c r="W6" s="2552"/>
      <c r="X6" s="2552"/>
      <c r="Y6" s="2552"/>
      <c r="Z6" s="2552"/>
      <c r="AA6" s="2552"/>
      <c r="AB6" s="2552"/>
      <c r="AC6" s="2552"/>
      <c r="AD6" s="2552"/>
      <c r="AE6" s="2552"/>
      <c r="AF6" s="2553"/>
      <c r="AG6" s="2551"/>
      <c r="AH6" s="2552"/>
      <c r="AI6" s="2552"/>
      <c r="AJ6" s="2552"/>
      <c r="AK6" s="2552"/>
      <c r="AL6" s="2552"/>
      <c r="AM6" s="2552"/>
      <c r="AN6" s="2552"/>
      <c r="AO6" s="2552"/>
      <c r="AP6" s="2552"/>
      <c r="AQ6" s="2552"/>
      <c r="AR6" s="2553"/>
      <c r="AS6" s="1223" t="s">
        <v>484</v>
      </c>
      <c r="AU6" s="436"/>
      <c r="AV6" s="436" t="str">
        <f t="shared" si="0"/>
        <v>Группа потребителей</v>
      </c>
      <c r="AW6" s="436"/>
      <c r="AX6" s="436"/>
      <c r="AY6" s="1071">
        <v>0</v>
      </c>
    </row>
    <row r="7" spans="1:51" ht="23.25" hidden="1" customHeight="1">
      <c r="A7" s="1279"/>
      <c r="B7" s="1279"/>
      <c r="C7" s="1279"/>
      <c r="D7" s="1279"/>
      <c r="E7" s="2564"/>
      <c r="F7" s="2564"/>
      <c r="G7" s="2564"/>
      <c r="H7" s="2564"/>
      <c r="I7" s="2566"/>
      <c r="J7" s="2566"/>
      <c r="K7" s="2565" t="e">
        <f>J6&amp;".1"</f>
        <v>#N/A</v>
      </c>
      <c r="L7" s="1280"/>
      <c r="P7" s="2567"/>
      <c r="Q7" s="2567"/>
      <c r="R7" s="293">
        <v>1</v>
      </c>
      <c r="S7" s="1409" t="e">
        <f>$K7</f>
        <v>#N/A</v>
      </c>
      <c r="T7" s="1353"/>
      <c r="U7" s="237"/>
      <c r="V7" s="687"/>
      <c r="W7" s="687"/>
      <c r="X7" s="687"/>
      <c r="Y7" s="687"/>
      <c r="Z7" s="687"/>
      <c r="AA7" s="687"/>
      <c r="AB7" s="1173"/>
      <c r="AC7" s="2568"/>
      <c r="AD7" s="2445" t="s">
        <v>62</v>
      </c>
      <c r="AE7" s="2568"/>
      <c r="AF7" s="2445" t="s">
        <v>62</v>
      </c>
      <c r="AG7" s="687"/>
      <c r="AH7" s="687"/>
      <c r="AI7" s="687"/>
      <c r="AJ7" s="687"/>
      <c r="AK7" s="687"/>
      <c r="AL7" s="687"/>
      <c r="AM7" s="1173"/>
      <c r="AN7" s="2568"/>
      <c r="AO7" s="2445" t="s">
        <v>62</v>
      </c>
      <c r="AP7" s="2570"/>
      <c r="AQ7" s="2445" t="s">
        <v>62</v>
      </c>
      <c r="AR7" s="1354"/>
      <c r="AS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1">
        <v>0</v>
      </c>
    </row>
    <row r="8" spans="1:51" ht="14.25" hidden="1" customHeight="1">
      <c r="A8" s="1279"/>
      <c r="B8" s="1279"/>
      <c r="C8" s="1279"/>
      <c r="D8" s="1279"/>
      <c r="E8" s="2564"/>
      <c r="F8" s="2564"/>
      <c r="G8" s="2564"/>
      <c r="H8" s="2564"/>
      <c r="I8" s="2566"/>
      <c r="J8" s="2566"/>
      <c r="K8" s="2565"/>
      <c r="L8" s="1280"/>
      <c r="P8" s="2567"/>
      <c r="Q8" s="2567"/>
      <c r="R8" s="293"/>
      <c r="S8" s="1406"/>
      <c r="T8" s="237"/>
      <c r="U8" s="237"/>
      <c r="V8" s="262"/>
      <c r="W8" s="262"/>
      <c r="X8" s="262"/>
      <c r="Y8" s="262"/>
      <c r="Z8" s="262"/>
      <c r="AA8" s="262"/>
      <c r="AB8" s="265" t="str">
        <f>AC7&amp;"-"&amp;AE7</f>
        <v>-</v>
      </c>
      <c r="AC8" s="2569"/>
      <c r="AD8" s="2445"/>
      <c r="AE8" s="2569"/>
      <c r="AF8" s="2445"/>
      <c r="AG8" s="262"/>
      <c r="AH8" s="262"/>
      <c r="AI8" s="262"/>
      <c r="AJ8" s="262"/>
      <c r="AK8" s="262"/>
      <c r="AL8" s="262"/>
      <c r="AM8" s="265" t="str">
        <f>AN7&amp;"-"&amp;AP7</f>
        <v>-</v>
      </c>
      <c r="AN8" s="2569"/>
      <c r="AO8" s="2445"/>
      <c r="AP8" s="2571"/>
      <c r="AQ8" s="2445"/>
      <c r="AR8" s="1355"/>
      <c r="AS8" s="2637"/>
      <c r="AU8" s="436"/>
      <c r="AV8" s="436" t="str">
        <f t="shared" si="0"/>
        <v/>
      </c>
      <c r="AW8" s="436"/>
      <c r="AX8" s="436"/>
      <c r="AY8" s="1071">
        <v>0</v>
      </c>
    </row>
    <row r="9" spans="1:51" ht="21" hidden="1" customHeight="1">
      <c r="A9" s="1279"/>
      <c r="B9" s="1279"/>
      <c r="C9" s="1279"/>
      <c r="D9" s="1279"/>
      <c r="E9" s="2564"/>
      <c r="F9" s="2564"/>
      <c r="G9" s="2564"/>
      <c r="H9" s="2564"/>
      <c r="I9" s="2566"/>
      <c r="J9" s="2565"/>
      <c r="K9" s="1279"/>
      <c r="L9" s="1280"/>
      <c r="P9" s="2567"/>
      <c r="Q9" s="2567"/>
      <c r="R9" s="292"/>
      <c r="S9" s="119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4" t="s">
        <v>486</v>
      </c>
      <c r="AU9" s="436"/>
      <c r="AV9" s="436" t="str">
        <f t="shared" si="0"/>
        <v>Добавить значение признака дифференциации</v>
      </c>
      <c r="AW9" s="436"/>
      <c r="AX9" s="436"/>
      <c r="AY9" s="1071">
        <v>0</v>
      </c>
    </row>
    <row r="10" spans="1:51" ht="21" hidden="1" customHeight="1">
      <c r="A10" s="1279"/>
      <c r="B10" s="1279"/>
      <c r="C10" s="1279"/>
      <c r="D10" s="1279"/>
      <c r="E10" s="2564"/>
      <c r="F10" s="2564"/>
      <c r="G10" s="2564"/>
      <c r="H10" s="2564"/>
      <c r="I10" s="2565"/>
      <c r="J10" s="1279"/>
      <c r="K10" s="1279"/>
      <c r="L10" s="1280"/>
      <c r="P10" s="2567"/>
      <c r="Q10" s="1397"/>
      <c r="R10" s="292"/>
      <c r="S10" s="119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6"/>
      <c r="AU10" s="436"/>
      <c r="AV10" s="436" t="str">
        <f t="shared" si="0"/>
        <v>Добавить группу потребителей</v>
      </c>
      <c r="AW10" s="436"/>
      <c r="AX10" s="436"/>
      <c r="AY10" s="1071">
        <v>0</v>
      </c>
    </row>
    <row r="11" spans="1:51" ht="21" hidden="1" customHeight="1">
      <c r="A11" s="1279"/>
      <c r="B11" s="1279"/>
      <c r="C11" s="1279"/>
      <c r="D11" s="1279"/>
      <c r="E11" s="2564"/>
      <c r="F11" s="2564"/>
      <c r="G11" s="2564"/>
      <c r="H11" s="2563"/>
      <c r="I11" s="1279"/>
      <c r="J11" s="1279"/>
      <c r="K11" s="1279"/>
      <c r="L11" s="1280"/>
      <c r="M11" s="1281"/>
      <c r="N11" s="1281"/>
      <c r="O11" s="473"/>
      <c r="P11" s="296"/>
      <c r="Q11" s="311"/>
      <c r="R11" s="291"/>
      <c r="S11" s="119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1">
        <v>0</v>
      </c>
    </row>
    <row r="12" spans="1:51" s="2344" customFormat="1" ht="14.25" hidden="1" customHeight="1">
      <c r="A12" s="1259"/>
      <c r="B12" s="1259"/>
      <c r="C12" s="1230"/>
      <c r="D12" s="1230"/>
      <c r="E12" s="2564"/>
      <c r="F12" s="2563"/>
      <c r="G12" s="1230"/>
      <c r="H12" s="1230"/>
      <c r="I12" s="1230"/>
      <c r="J12" s="1230"/>
      <c r="K12" s="1230"/>
      <c r="L12" s="1410"/>
      <c r="M12" s="1237"/>
      <c r="N12" s="1237"/>
      <c r="P12" s="1232"/>
      <c r="Q12" s="1233"/>
      <c r="R12" s="1232"/>
      <c r="S12" s="1238"/>
      <c r="T12" s="1241" t="s">
        <v>414</v>
      </c>
      <c r="U12" s="1240"/>
      <c r="V12" s="1240"/>
      <c r="W12" s="1240"/>
      <c r="X12" s="1240"/>
      <c r="Y12" s="1240"/>
      <c r="Z12" s="1240"/>
      <c r="AA12" s="1240"/>
      <c r="AB12" s="1240"/>
      <c r="AC12" s="1240"/>
      <c r="AD12" s="1240"/>
      <c r="AE12" s="1240"/>
      <c r="AF12" s="1240"/>
      <c r="AG12" s="1240"/>
      <c r="AH12" s="1240"/>
      <c r="AI12" s="1240"/>
      <c r="AJ12" s="1240"/>
      <c r="AK12" s="1240"/>
      <c r="AL12" s="1240"/>
      <c r="AM12" s="1240"/>
      <c r="AN12" s="1240"/>
      <c r="AO12" s="1240"/>
      <c r="AP12" s="1240"/>
      <c r="AQ12" s="1240"/>
      <c r="AR12" s="1240"/>
      <c r="AS12" s="1240"/>
      <c r="AU12" s="719"/>
      <c r="AV12" s="719" t="str">
        <f t="shared" si="0"/>
        <v>Добавить централизованную систему для дифференциации</v>
      </c>
      <c r="AW12" s="719"/>
      <c r="AX12" s="719"/>
      <c r="AY12" s="454">
        <v>0</v>
      </c>
    </row>
    <row r="13" spans="1:51" s="2344" customFormat="1" ht="14.25" hidden="1" customHeight="1">
      <c r="A13" s="1259"/>
      <c r="B13" s="1259"/>
      <c r="C13" s="1259"/>
      <c r="D13" s="1259"/>
      <c r="E13" s="2563"/>
      <c r="F13" s="1259"/>
      <c r="G13" s="1259"/>
      <c r="H13" s="1259"/>
      <c r="I13" s="1259"/>
      <c r="J13" s="1259"/>
      <c r="K13" s="1259"/>
      <c r="L13" s="1262"/>
      <c r="M13" s="1237"/>
      <c r="N13" s="1237"/>
      <c r="O13" s="454"/>
      <c r="P13" s="316"/>
      <c r="Q13" s="1260"/>
      <c r="R13" s="316"/>
      <c r="S13" s="1238"/>
      <c r="T13" s="1241" t="s">
        <v>415</v>
      </c>
      <c r="U13" s="1240"/>
      <c r="V13" s="1240"/>
      <c r="W13" s="1240"/>
      <c r="X13" s="1240"/>
      <c r="Y13" s="1240"/>
      <c r="Z13" s="1240"/>
      <c r="AA13" s="1240"/>
      <c r="AB13" s="1240"/>
      <c r="AC13" s="1240"/>
      <c r="AD13" s="1240"/>
      <c r="AE13" s="1240"/>
      <c r="AF13" s="1240"/>
      <c r="AG13" s="1240"/>
      <c r="AH13" s="1240"/>
      <c r="AI13" s="1240"/>
      <c r="AJ13" s="1240"/>
      <c r="AK13" s="1240"/>
      <c r="AL13" s="1240"/>
      <c r="AM13" s="1240"/>
      <c r="AN13" s="1240"/>
      <c r="AO13" s="1240"/>
      <c r="AP13" s="1240"/>
      <c r="AQ13" s="1240"/>
      <c r="AR13" s="1240"/>
      <c r="AS13" s="1240"/>
      <c r="AU13" s="436"/>
      <c r="AV13" s="436" t="str">
        <f t="shared" si="0"/>
        <v>Добавить территорию для дифференциации</v>
      </c>
      <c r="AW13" s="436"/>
      <c r="AX13" s="436"/>
      <c r="AY13" s="447">
        <v>0</v>
      </c>
    </row>
    <row r="14" spans="1:51" ht="14.25" hidden="1" customHeight="1">
      <c r="AF14" s="264"/>
      <c r="AQ14" s="264"/>
      <c r="AY14" s="1071">
        <v>0</v>
      </c>
    </row>
    <row r="15" spans="1:51" ht="14.25" hidden="1" customHeight="1">
      <c r="AG15" s="1276"/>
      <c r="AH15" s="1276"/>
      <c r="AI15" s="1276"/>
      <c r="AJ15" s="1276"/>
      <c r="AK15" s="1276"/>
      <c r="AL15" s="1276"/>
      <c r="AM15" s="1277"/>
      <c r="AN15" s="2561"/>
      <c r="AO15" s="2560" t="s">
        <v>62</v>
      </c>
      <c r="AP15" s="2561"/>
      <c r="AQ15" s="2560" t="s">
        <v>62</v>
      </c>
      <c r="AY15" s="1071">
        <v>0</v>
      </c>
    </row>
    <row r="16" spans="1:51" ht="14.25" hidden="1" customHeight="1">
      <c r="AG16" s="1276"/>
      <c r="AH16" s="1276"/>
      <c r="AI16" s="1276"/>
      <c r="AJ16" s="1276"/>
      <c r="AK16" s="1276"/>
      <c r="AL16" s="1276"/>
      <c r="AM16" s="265" t="str">
        <f>AN15&amp;"-"&amp;AP15</f>
        <v>-</v>
      </c>
      <c r="AN16" s="2560"/>
      <c r="AO16" s="2560"/>
      <c r="AP16" s="2560"/>
      <c r="AQ16" s="2560"/>
      <c r="AY16" s="1071">
        <v>0</v>
      </c>
    </row>
    <row r="17" spans="1:51" ht="14.25" hidden="1" customHeight="1">
      <c r="AQ17" s="264"/>
      <c r="AY17" s="1071">
        <v>0</v>
      </c>
    </row>
    <row r="18" spans="1:51" s="2357" customFormat="1" ht="22.5" hidden="1" customHeight="1">
      <c r="L18" s="1394"/>
      <c r="M18" s="1278"/>
      <c r="N18" s="1278"/>
      <c r="O18" s="1283" t="s">
        <v>416</v>
      </c>
      <c r="P18" s="1278"/>
      <c r="Q18" s="1287"/>
      <c r="R18" s="1287"/>
      <c r="S18" s="665"/>
      <c r="W18" s="1282"/>
      <c r="X18" s="1282"/>
      <c r="Y18" s="1282"/>
      <c r="Z18" s="1282"/>
      <c r="AA18" s="1282"/>
      <c r="AC18" s="1283"/>
      <c r="AE18" s="1283"/>
      <c r="AF18" s="1282"/>
      <c r="AH18" s="1282"/>
      <c r="AI18" s="1282"/>
      <c r="AJ18" s="1282"/>
      <c r="AK18" s="1282"/>
      <c r="AL18" s="1282"/>
      <c r="AN18" s="1283"/>
      <c r="AP18" s="1283"/>
      <c r="AQ18" s="1282"/>
      <c r="AT18" s="447"/>
      <c r="AU18" s="447"/>
      <c r="AV18" s="447"/>
      <c r="AW18" s="447"/>
      <c r="AX18" s="447"/>
      <c r="AY18" s="1076">
        <v>0</v>
      </c>
    </row>
    <row r="19" spans="1:51" s="2357" customFormat="1" ht="14.25" hidden="1" customHeight="1">
      <c r="L19" s="1394"/>
      <c r="M19" s="1278"/>
      <c r="N19" s="1278"/>
      <c r="O19" s="1278"/>
      <c r="P19" s="1278"/>
      <c r="Q19" s="1287"/>
      <c r="R19" s="1287"/>
      <c r="S19" s="665"/>
      <c r="W19" s="1282"/>
      <c r="X19" s="1282"/>
      <c r="Y19" s="1282"/>
      <c r="Z19" s="1282"/>
      <c r="AA19" s="1282"/>
      <c r="AF19" s="1282"/>
      <c r="AH19" s="1282"/>
      <c r="AI19" s="1282"/>
      <c r="AJ19" s="1282"/>
      <c r="AK19" s="1282"/>
      <c r="AL19" s="1282"/>
      <c r="AQ19" s="1282"/>
      <c r="AT19" s="447"/>
      <c r="AU19" s="447"/>
      <c r="AV19" s="447"/>
      <c r="AW19" s="447"/>
      <c r="AX19" s="447"/>
      <c r="AY19" s="1076">
        <v>0</v>
      </c>
    </row>
    <row r="20" spans="1:51" s="2357" customFormat="1" ht="12" hidden="1" customHeight="1">
      <c r="L20" s="1394"/>
      <c r="M20" s="1278"/>
      <c r="N20" s="1278"/>
      <c r="O20" s="1280" t="s">
        <v>417</v>
      </c>
      <c r="P20" s="1278"/>
      <c r="Q20" s="1358"/>
      <c r="R20" s="1358"/>
      <c r="S20" s="665"/>
      <c r="T20" s="1076" t="s">
        <v>418</v>
      </c>
      <c r="W20" s="1282"/>
      <c r="X20" s="1282"/>
      <c r="Y20" s="1282"/>
      <c r="Z20" s="1282"/>
      <c r="AA20" s="1282"/>
      <c r="AD20" s="123" t="s">
        <v>419</v>
      </c>
      <c r="AF20" s="123" t="s">
        <v>420</v>
      </c>
      <c r="AG20" s="1076" t="s">
        <v>418</v>
      </c>
      <c r="AH20" s="1282"/>
      <c r="AI20" s="1282"/>
      <c r="AJ20" s="1282"/>
      <c r="AK20" s="1282"/>
      <c r="AL20" s="1282"/>
      <c r="AO20" s="123" t="s">
        <v>421</v>
      </c>
      <c r="AQ20" s="123" t="s">
        <v>420</v>
      </c>
      <c r="AY20" s="1076">
        <v>0</v>
      </c>
    </row>
    <row r="21" spans="1:51" ht="14.25" hidden="1" customHeight="1">
      <c r="O21" s="1280"/>
      <c r="AY21" s="1071">
        <v>0</v>
      </c>
    </row>
    <row r="22" spans="1:51" ht="14.25" hidden="1" customHeight="1">
      <c r="O22" s="1280"/>
      <c r="AY22" s="1071">
        <v>0</v>
      </c>
    </row>
    <row r="23" spans="1:51" ht="14.65" customHeight="1">
      <c r="Q23" s="312"/>
      <c r="R23" s="312"/>
      <c r="S23" s="1191"/>
      <c r="T23" s="299"/>
      <c r="U23" s="299"/>
      <c r="V23" s="445"/>
      <c r="W23" s="1551"/>
      <c r="X23" s="1551"/>
      <c r="Y23" s="1551"/>
      <c r="Z23" s="1551"/>
      <c r="AA23" s="1551"/>
      <c r="AB23" s="445"/>
      <c r="AC23" s="445"/>
      <c r="AD23" s="445"/>
      <c r="AE23" s="445"/>
      <c r="AF23" s="445"/>
      <c r="AG23" s="445"/>
      <c r="AH23" s="1551"/>
      <c r="AI23" s="1551"/>
      <c r="AJ23" s="1551"/>
      <c r="AK23" s="1551"/>
      <c r="AL23" s="1551"/>
      <c r="AM23" s="445"/>
      <c r="AN23" s="445"/>
      <c r="AO23" s="445"/>
      <c r="AP23" s="445"/>
      <c r="AQ23" s="445"/>
      <c r="AY23" s="1071">
        <v>14</v>
      </c>
    </row>
    <row r="24" spans="1:51" ht="26.25" customHeight="1">
      <c r="Q24" s="312"/>
      <c r="R24" s="312"/>
      <c r="S24" s="25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44"/>
      <c r="U24" s="2544"/>
      <c r="V24" s="2544"/>
      <c r="W24" s="2544"/>
      <c r="X24" s="2544"/>
      <c r="Y24" s="2544"/>
      <c r="Z24" s="2544"/>
      <c r="AA24" s="2544"/>
      <c r="AB24" s="2544"/>
      <c r="AC24" s="2544"/>
      <c r="AD24" s="2544"/>
      <c r="AE24" s="2544"/>
      <c r="AF24" s="2544"/>
      <c r="AG24" s="2544"/>
      <c r="AH24" s="2544"/>
      <c r="AI24" s="2544"/>
      <c r="AJ24" s="2544"/>
      <c r="AK24" s="2544"/>
      <c r="AL24" s="2544"/>
      <c r="AM24" s="2544"/>
      <c r="AN24" s="2544"/>
      <c r="AO24" s="2544"/>
      <c r="AP24" s="2544"/>
      <c r="AQ24" s="1159"/>
      <c r="AY24" s="1071">
        <v>25</v>
      </c>
    </row>
    <row r="25" spans="1:51" ht="14.65" customHeight="1">
      <c r="Q25" s="312"/>
      <c r="R25" s="312"/>
      <c r="S25" s="2516" t="str">
        <f>IF(org=0,"Не определено",org)</f>
        <v>ООО "Пятигорсктеплосервис"</v>
      </c>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1159"/>
      <c r="AY25" s="1071">
        <v>14</v>
      </c>
    </row>
    <row r="26" spans="1:51" ht="14.25" hidden="1" customHeight="1">
      <c r="Q26" s="312"/>
      <c r="R26" s="312"/>
      <c r="S26" s="119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1">
        <v>0</v>
      </c>
    </row>
    <row r="27" spans="1:51" s="2380" customFormat="1" ht="25.5" hidden="1" customHeight="1">
      <c r="A27" s="1284"/>
      <c r="B27" s="1284"/>
      <c r="C27" s="1284"/>
      <c r="D27" s="1284"/>
      <c r="E27" s="1284"/>
      <c r="F27" s="1284"/>
      <c r="G27" s="1284"/>
      <c r="H27" s="1284"/>
      <c r="I27" s="1284"/>
      <c r="J27" s="1284"/>
      <c r="K27" s="1284"/>
      <c r="L27" s="1285"/>
      <c r="M27" s="1284"/>
      <c r="N27" s="1284"/>
      <c r="O27" s="1284"/>
      <c r="S27" s="2554" t="s">
        <v>41</v>
      </c>
      <c r="T27" s="2554"/>
      <c r="U27" s="1288"/>
      <c r="V27" s="2556" t="str">
        <f>IF(TITLE_NAME_OR_PR_CHANGE="",IF(TITLE_NAME_OR_PR="","",TITLE_NAME_OR_PR),TITLE_NAME_OR_PR_CHANGE)</f>
        <v/>
      </c>
      <c r="W27" s="2556"/>
      <c r="X27" s="2556"/>
      <c r="Y27" s="2556"/>
      <c r="Z27" s="2556"/>
      <c r="AA27" s="2556"/>
      <c r="AB27" s="2556"/>
      <c r="AC27" s="2556"/>
      <c r="AD27" s="2556"/>
      <c r="AE27" s="2556"/>
      <c r="AF27" s="263"/>
      <c r="AG27" s="2556" t="str">
        <f>IF(TITLE_NAME_OR_PR_CHANGE="",IF(TITLE_NAME_OR_PR="","",TITLE_NAME_OR_PR),TITLE_NAME_OR_PR_CHANGE)</f>
        <v/>
      </c>
      <c r="AH27" s="2556"/>
      <c r="AI27" s="2556"/>
      <c r="AJ27" s="2556"/>
      <c r="AK27" s="2556"/>
      <c r="AL27" s="2556"/>
      <c r="AM27" s="2556"/>
      <c r="AN27" s="2556"/>
      <c r="AO27" s="2556"/>
      <c r="AP27" s="2556"/>
      <c r="AQ27" s="263"/>
      <c r="AR27" s="263"/>
      <c r="AS27" s="217"/>
      <c r="AT27" s="304"/>
      <c r="AU27" s="304"/>
      <c r="AV27" s="304"/>
      <c r="AW27" s="304"/>
      <c r="AX27" s="304"/>
      <c r="AY27" s="354">
        <v>0</v>
      </c>
    </row>
    <row r="28" spans="1:51" s="2380" customFormat="1" ht="18.75" hidden="1" customHeight="1">
      <c r="A28" s="1284"/>
      <c r="B28" s="1284"/>
      <c r="C28" s="1284"/>
      <c r="D28" s="1284"/>
      <c r="E28" s="1284"/>
      <c r="F28" s="1284"/>
      <c r="G28" s="1284"/>
      <c r="H28" s="1284"/>
      <c r="I28" s="1284"/>
      <c r="J28" s="1284"/>
      <c r="K28" s="1284"/>
      <c r="L28" s="1285"/>
      <c r="M28" s="1284"/>
      <c r="N28" s="1284"/>
      <c r="O28" s="1284"/>
      <c r="S28" s="2554" t="s">
        <v>422</v>
      </c>
      <c r="T28" s="2554"/>
      <c r="U28" s="1288"/>
      <c r="V28" s="2555" t="str">
        <f>IF(TITLE_DATE_PR_CHANGE="",IF(TITLE_DATE_PR="","",TITLE_DATE_PR),TITLE_DATE_PR_CHANGE)</f>
        <v/>
      </c>
      <c r="W28" s="2555"/>
      <c r="X28" s="2555"/>
      <c r="Y28" s="2555"/>
      <c r="Z28" s="2555"/>
      <c r="AA28" s="2555"/>
      <c r="AB28" s="2555"/>
      <c r="AC28" s="2555"/>
      <c r="AD28" s="2555"/>
      <c r="AE28" s="2555"/>
      <c r="AF28" s="263"/>
      <c r="AG28" s="2555" t="str">
        <f>IF(TITLE_DATE_PR_CHANGE="",IF(TITLE_DATE_PR="","",TITLE_DATE_PR),TITLE_DATE_PR_CHANGE)</f>
        <v/>
      </c>
      <c r="AH28" s="2555"/>
      <c r="AI28" s="2555"/>
      <c r="AJ28" s="2555"/>
      <c r="AK28" s="2555"/>
      <c r="AL28" s="2555"/>
      <c r="AM28" s="2555"/>
      <c r="AN28" s="2555"/>
      <c r="AO28" s="2555"/>
      <c r="AP28" s="2555"/>
      <c r="AQ28" s="263"/>
      <c r="AR28" s="263"/>
      <c r="AS28" s="217"/>
      <c r="AT28" s="304"/>
      <c r="AU28" s="304"/>
      <c r="AV28" s="304"/>
      <c r="AW28" s="304"/>
      <c r="AX28" s="304"/>
      <c r="AY28" s="354">
        <v>0</v>
      </c>
    </row>
    <row r="29" spans="1:51" s="2380" customFormat="1" ht="18.75" hidden="1" customHeight="1">
      <c r="A29" s="1284"/>
      <c r="B29" s="1284"/>
      <c r="C29" s="1284"/>
      <c r="D29" s="1284"/>
      <c r="E29" s="1284"/>
      <c r="F29" s="1284"/>
      <c r="G29" s="1284"/>
      <c r="H29" s="1284"/>
      <c r="I29" s="1284"/>
      <c r="J29" s="1284"/>
      <c r="K29" s="1284"/>
      <c r="L29" s="1285"/>
      <c r="M29" s="1284"/>
      <c r="N29" s="1284"/>
      <c r="O29" s="1284"/>
      <c r="S29" s="2554" t="s">
        <v>423</v>
      </c>
      <c r="T29" s="2554"/>
      <c r="U29" s="1288"/>
      <c r="V29" s="2556" t="str">
        <f>IF(TITLE_NUMBER_PR_CHANGE="",IF(TITLE_NUMBER_PR="","",TITLE_NUMBER_PR),TITLE_NUMBER_PR_CHANGE)</f>
        <v/>
      </c>
      <c r="W29" s="2556"/>
      <c r="X29" s="2556"/>
      <c r="Y29" s="2556"/>
      <c r="Z29" s="2556"/>
      <c r="AA29" s="2556"/>
      <c r="AB29" s="2556"/>
      <c r="AC29" s="2556"/>
      <c r="AD29" s="2556"/>
      <c r="AE29" s="2556"/>
      <c r="AF29" s="263"/>
      <c r="AG29" s="2556" t="str">
        <f>IF(TITLE_NUMBER_PR_CHANGE="",IF(TITLE_NUMBER_PR="","",TITLE_NUMBER_PR),TITLE_NUMBER_PR_CHANGE)</f>
        <v/>
      </c>
      <c r="AH29" s="2556"/>
      <c r="AI29" s="2556"/>
      <c r="AJ29" s="2556"/>
      <c r="AK29" s="2556"/>
      <c r="AL29" s="2556"/>
      <c r="AM29" s="2556"/>
      <c r="AN29" s="2556"/>
      <c r="AO29" s="2556"/>
      <c r="AP29" s="2556"/>
      <c r="AQ29" s="263"/>
      <c r="AR29" s="263"/>
      <c r="AS29" s="217"/>
      <c r="AT29" s="304"/>
      <c r="AU29" s="304"/>
      <c r="AV29" s="304"/>
      <c r="AW29" s="304"/>
      <c r="AX29" s="304"/>
      <c r="AY29" s="354">
        <v>0</v>
      </c>
    </row>
    <row r="30" spans="1:51" s="2380" customFormat="1" ht="18.75" hidden="1" customHeight="1">
      <c r="A30" s="1284"/>
      <c r="B30" s="1284"/>
      <c r="C30" s="1284"/>
      <c r="D30" s="1284"/>
      <c r="E30" s="1284"/>
      <c r="F30" s="1284"/>
      <c r="G30" s="1284"/>
      <c r="H30" s="1284"/>
      <c r="I30" s="1284"/>
      <c r="J30" s="1284"/>
      <c r="K30" s="1284"/>
      <c r="L30" s="1285"/>
      <c r="M30" s="1284"/>
      <c r="N30" s="1284"/>
      <c r="O30" s="1284"/>
      <c r="S30" s="2554" t="s">
        <v>42</v>
      </c>
      <c r="T30" s="2554"/>
      <c r="U30" s="1288"/>
      <c r="V30" s="2556" t="str">
        <f>IF(TITLE_IST_PUB_CHANGE="",IF(TITLE_IST_PUB="","",TITLE_IST_PUB),TITLE_IST_PUB_CHANGE)</f>
        <v/>
      </c>
      <c r="W30" s="2556"/>
      <c r="X30" s="2556"/>
      <c r="Y30" s="2556"/>
      <c r="Z30" s="2556"/>
      <c r="AA30" s="2556"/>
      <c r="AB30" s="2556"/>
      <c r="AC30" s="2556"/>
      <c r="AD30" s="2556"/>
      <c r="AE30" s="2556"/>
      <c r="AF30" s="263"/>
      <c r="AG30" s="2556" t="str">
        <f>IF(TITLE_IST_PUB_CHANGE="",IF(TITLE_IST_PUB="","",TITLE_IST_PUB),TITLE_IST_PUB_CHANGE)</f>
        <v/>
      </c>
      <c r="AH30" s="2556"/>
      <c r="AI30" s="2556"/>
      <c r="AJ30" s="2556"/>
      <c r="AK30" s="2556"/>
      <c r="AL30" s="2556"/>
      <c r="AM30" s="2556"/>
      <c r="AN30" s="2556"/>
      <c r="AO30" s="2556"/>
      <c r="AP30" s="2556"/>
      <c r="AQ30" s="263"/>
      <c r="AR30" s="263"/>
      <c r="AS30" s="217"/>
      <c r="AT30" s="304"/>
      <c r="AU30" s="304"/>
      <c r="AV30" s="304"/>
      <c r="AW30" s="304"/>
      <c r="AX30" s="304"/>
      <c r="AY30" s="354">
        <v>0</v>
      </c>
    </row>
    <row r="31" spans="1:51" ht="14.25" hidden="1" customHeight="1">
      <c r="Q31" s="312"/>
      <c r="R31" s="312"/>
      <c r="S31" s="119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1">
        <v>0</v>
      </c>
    </row>
    <row r="32" spans="1:51" s="2380" customFormat="1" ht="18.75" hidden="1" customHeight="1">
      <c r="A32" s="1284"/>
      <c r="B32" s="1284"/>
      <c r="C32" s="1284"/>
      <c r="D32" s="1284"/>
      <c r="E32" s="1284"/>
      <c r="F32" s="1284"/>
      <c r="G32" s="1284"/>
      <c r="H32" s="1284"/>
      <c r="I32" s="1284"/>
      <c r="J32" s="1284"/>
      <c r="K32" s="1284"/>
      <c r="L32" s="1285"/>
      <c r="M32" s="1284"/>
      <c r="N32" s="1284"/>
      <c r="O32" s="1284"/>
      <c r="S32" s="2554" t="s">
        <v>424</v>
      </c>
      <c r="T32" s="2554"/>
      <c r="U32" s="1288"/>
      <c r="V32" s="2555" t="str">
        <f>IF(TITLE_DATE_PR_CHANGE="",IF(TITLE_DATE_PR="","",TITLE_DATE_PR),TITLE_DATE_PR_CHANGE)</f>
        <v/>
      </c>
      <c r="W32" s="2555"/>
      <c r="X32" s="2555"/>
      <c r="Y32" s="2555"/>
      <c r="Z32" s="2555"/>
      <c r="AA32" s="2555"/>
      <c r="AB32" s="2555"/>
      <c r="AC32" s="2555"/>
      <c r="AD32" s="2555"/>
      <c r="AE32" s="2555"/>
      <c r="AF32" s="263"/>
      <c r="AG32" s="2555" t="str">
        <f>IF(TITLE_DATE_PR_CHANGE="",IF(TITLE_DATE_PR="","",TITLE_DATE_PR),TITLE_DATE_PR_CHANGE)</f>
        <v/>
      </c>
      <c r="AH32" s="2555"/>
      <c r="AI32" s="2555"/>
      <c r="AJ32" s="2555"/>
      <c r="AK32" s="2555"/>
      <c r="AL32" s="2555"/>
      <c r="AM32" s="2555"/>
      <c r="AN32" s="2555"/>
      <c r="AO32" s="2555"/>
      <c r="AP32" s="2555"/>
      <c r="AQ32" s="263"/>
      <c r="AR32" s="263"/>
      <c r="AS32" s="217"/>
      <c r="AT32" s="304"/>
      <c r="AU32" s="304"/>
      <c r="AV32" s="304"/>
      <c r="AW32" s="304"/>
      <c r="AX32" s="304"/>
      <c r="AY32" s="354">
        <v>0</v>
      </c>
    </row>
    <row r="33" spans="1:51" s="2380" customFormat="1" ht="18.75" hidden="1" customHeight="1">
      <c r="A33" s="1284"/>
      <c r="B33" s="1284"/>
      <c r="C33" s="1284"/>
      <c r="D33" s="1284"/>
      <c r="E33" s="1284"/>
      <c r="F33" s="1284"/>
      <c r="G33" s="1284"/>
      <c r="H33" s="1284"/>
      <c r="I33" s="1284"/>
      <c r="J33" s="1284"/>
      <c r="K33" s="1284"/>
      <c r="L33" s="1285"/>
      <c r="M33" s="1284"/>
      <c r="N33" s="1284"/>
      <c r="O33" s="1284"/>
      <c r="S33" s="2554" t="s">
        <v>425</v>
      </c>
      <c r="T33" s="2554"/>
      <c r="U33" s="1288"/>
      <c r="V33" s="2556" t="str">
        <f>IF(TITLE_NUMBER_PR_CHANGE="",IF(TITLE_NUMBER_PR="","",TITLE_NUMBER_PR),TITLE_NUMBER_PR_CHANGE)</f>
        <v/>
      </c>
      <c r="W33" s="2556"/>
      <c r="X33" s="2556"/>
      <c r="Y33" s="2556"/>
      <c r="Z33" s="2556"/>
      <c r="AA33" s="2556"/>
      <c r="AB33" s="2556"/>
      <c r="AC33" s="2556"/>
      <c r="AD33" s="2556"/>
      <c r="AE33" s="2556"/>
      <c r="AF33" s="263"/>
      <c r="AG33" s="2556" t="str">
        <f>IF(TITLE_NUMBER_PR_CHANGE="",IF(TITLE_NUMBER_PR="","",TITLE_NUMBER_PR),TITLE_NUMBER_PR_CHANGE)</f>
        <v/>
      </c>
      <c r="AH33" s="2556"/>
      <c r="AI33" s="2556"/>
      <c r="AJ33" s="2556"/>
      <c r="AK33" s="2556"/>
      <c r="AL33" s="2556"/>
      <c r="AM33" s="2556"/>
      <c r="AN33" s="2556"/>
      <c r="AO33" s="2556"/>
      <c r="AP33" s="2556"/>
      <c r="AQ33" s="263"/>
      <c r="AR33" s="263"/>
      <c r="AS33" s="217"/>
      <c r="AT33" s="304"/>
      <c r="AU33" s="304"/>
      <c r="AV33" s="304"/>
      <c r="AW33" s="304"/>
      <c r="AX33" s="304"/>
      <c r="AY33" s="354">
        <v>0</v>
      </c>
    </row>
    <row r="34" spans="1:51" s="2380" customFormat="1" ht="1.1499999999999999" customHeight="1">
      <c r="A34" s="1284"/>
      <c r="B34" s="1284"/>
      <c r="C34" s="1284"/>
      <c r="D34" s="1284"/>
      <c r="E34" s="1284"/>
      <c r="F34" s="1284"/>
      <c r="G34" s="1284"/>
      <c r="H34" s="1284"/>
      <c r="I34" s="1284"/>
      <c r="J34" s="1284"/>
      <c r="K34" s="1284"/>
      <c r="L34" s="1285"/>
      <c r="M34" s="1284"/>
      <c r="N34" s="1284"/>
      <c r="O34" s="1284"/>
      <c r="S34" s="260"/>
      <c r="T34" s="260"/>
      <c r="U34" s="1404"/>
      <c r="V34" s="263"/>
      <c r="W34" s="1551"/>
      <c r="X34" s="1551"/>
      <c r="Y34" s="1551"/>
      <c r="Z34" s="1551"/>
      <c r="AA34" s="1551"/>
      <c r="AB34" s="263"/>
      <c r="AC34" s="263"/>
      <c r="AD34" s="263"/>
      <c r="AE34" s="263"/>
      <c r="AF34" s="215" t="s">
        <v>426</v>
      </c>
      <c r="AG34" s="263"/>
      <c r="AH34" s="1551"/>
      <c r="AI34" s="1551"/>
      <c r="AJ34" s="1551"/>
      <c r="AK34" s="1551"/>
      <c r="AL34" s="1551"/>
      <c r="AM34" s="263"/>
      <c r="AN34" s="263"/>
      <c r="AO34" s="263"/>
      <c r="AP34" s="263"/>
      <c r="AQ34" s="215" t="s">
        <v>426</v>
      </c>
      <c r="AT34" s="304"/>
      <c r="AU34" s="304"/>
      <c r="AV34" s="304"/>
      <c r="AW34" s="304"/>
      <c r="AX34" s="304"/>
      <c r="AY34" s="354">
        <v>1</v>
      </c>
    </row>
    <row r="35" spans="1:51" ht="14.65" customHeight="1">
      <c r="Q35" s="312"/>
      <c r="R35" s="312"/>
      <c r="S35" s="1191"/>
      <c r="T35" s="299"/>
      <c r="U35" s="1160"/>
      <c r="V35" s="2575"/>
      <c r="W35" s="2575"/>
      <c r="X35" s="2575"/>
      <c r="Y35" s="2575"/>
      <c r="Z35" s="2575"/>
      <c r="AA35" s="2575"/>
      <c r="AB35" s="2575"/>
      <c r="AC35" s="2575"/>
      <c r="AD35" s="2575"/>
      <c r="AE35" s="2575"/>
      <c r="AF35" s="2575"/>
      <c r="AG35" s="2575"/>
      <c r="AH35" s="2575"/>
      <c r="AI35" s="2575"/>
      <c r="AJ35" s="2575"/>
      <c r="AK35" s="2575"/>
      <c r="AL35" s="2575"/>
      <c r="AM35" s="2575"/>
      <c r="AN35" s="2575"/>
      <c r="AO35" s="2575"/>
      <c r="AP35" s="2575"/>
      <c r="AQ35" s="2575"/>
      <c r="AY35" s="1071">
        <v>14</v>
      </c>
    </row>
    <row r="36" spans="1:51" ht="14.65" customHeight="1">
      <c r="Q36" s="312"/>
      <c r="R36" s="312"/>
      <c r="S36" s="2435" t="s">
        <v>299</v>
      </c>
      <c r="T36" s="2435"/>
      <c r="U36" s="2435"/>
      <c r="V36" s="2435"/>
      <c r="W36" s="2435"/>
      <c r="X36" s="2435"/>
      <c r="Y36" s="2435"/>
      <c r="Z36" s="2435"/>
      <c r="AA36" s="2435"/>
      <c r="AB36" s="2435"/>
      <c r="AC36" s="2435"/>
      <c r="AD36" s="2435"/>
      <c r="AE36" s="2435"/>
      <c r="AF36" s="2435"/>
      <c r="AG36" s="2435"/>
      <c r="AH36" s="2435"/>
      <c r="AI36" s="2435"/>
      <c r="AJ36" s="2435"/>
      <c r="AK36" s="2435"/>
      <c r="AL36" s="2435"/>
      <c r="AM36" s="2435"/>
      <c r="AN36" s="2435"/>
      <c r="AO36" s="2435"/>
      <c r="AP36" s="2435"/>
      <c r="AQ36" s="2435"/>
      <c r="AR36" s="2435"/>
      <c r="AS36" s="2435" t="s">
        <v>300</v>
      </c>
      <c r="AY36" s="1071">
        <v>14</v>
      </c>
    </row>
    <row r="37" spans="1:51" ht="14.65" customHeight="1">
      <c r="Q37" s="312"/>
      <c r="R37" s="312"/>
      <c r="S37" s="2576" t="s">
        <v>88</v>
      </c>
      <c r="T37" s="2524" t="s">
        <v>427</v>
      </c>
      <c r="U37" s="238"/>
      <c r="V37" s="2577" t="s">
        <v>428</v>
      </c>
      <c r="W37" s="2578"/>
      <c r="X37" s="2578"/>
      <c r="Y37" s="2578"/>
      <c r="Z37" s="2578"/>
      <c r="AA37" s="2578"/>
      <c r="AB37" s="2578"/>
      <c r="AC37" s="2578"/>
      <c r="AD37" s="2578"/>
      <c r="AE37" s="2579"/>
      <c r="AF37" s="2580" t="s">
        <v>429</v>
      </c>
      <c r="AG37" s="2577" t="s">
        <v>428</v>
      </c>
      <c r="AH37" s="2578"/>
      <c r="AI37" s="2578"/>
      <c r="AJ37" s="2578"/>
      <c r="AK37" s="2578"/>
      <c r="AL37" s="2578"/>
      <c r="AM37" s="2578"/>
      <c r="AN37" s="2578"/>
      <c r="AO37" s="2578"/>
      <c r="AP37" s="2579"/>
      <c r="AQ37" s="2580" t="s">
        <v>430</v>
      </c>
      <c r="AR37" s="2583" t="s">
        <v>431</v>
      </c>
      <c r="AS37" s="2435"/>
      <c r="AY37" s="1071">
        <v>14</v>
      </c>
    </row>
    <row r="38" spans="1:51" s="2360" customFormat="1" ht="19.899999999999999" customHeight="1">
      <c r="A38" s="1282"/>
      <c r="B38" s="1282"/>
      <c r="C38" s="1282"/>
      <c r="D38" s="1282"/>
      <c r="E38" s="1282"/>
      <c r="F38" s="1282"/>
      <c r="G38" s="1282"/>
      <c r="H38" s="1282"/>
      <c r="I38" s="1282"/>
      <c r="J38" s="1282"/>
      <c r="K38" s="1282"/>
      <c r="L38" s="1889"/>
      <c r="M38" s="1278"/>
      <c r="N38" s="1278"/>
      <c r="O38" s="1278"/>
      <c r="P38" s="1890"/>
      <c r="Q38" s="312"/>
      <c r="R38" s="312"/>
      <c r="S38" s="2576"/>
      <c r="T38" s="2524"/>
      <c r="U38" s="953"/>
      <c r="V38" s="2435" t="s">
        <v>531</v>
      </c>
      <c r="W38" s="2647" t="s">
        <v>532</v>
      </c>
      <c r="X38" s="2647"/>
      <c r="Y38" s="2647"/>
      <c r="Z38" s="2647" t="s">
        <v>533</v>
      </c>
      <c r="AA38" s="2647"/>
      <c r="AB38" s="2647"/>
      <c r="AC38" s="2495" t="s">
        <v>435</v>
      </c>
      <c r="AD38" s="2605"/>
      <c r="AE38" s="2496"/>
      <c r="AF38" s="2581"/>
      <c r="AG38" s="2435" t="s">
        <v>531</v>
      </c>
      <c r="AH38" s="2647" t="s">
        <v>532</v>
      </c>
      <c r="AI38" s="2647"/>
      <c r="AJ38" s="2647"/>
      <c r="AK38" s="2647" t="s">
        <v>533</v>
      </c>
      <c r="AL38" s="2647"/>
      <c r="AM38" s="2647"/>
      <c r="AN38" s="2495" t="s">
        <v>435</v>
      </c>
      <c r="AO38" s="2605"/>
      <c r="AP38" s="2496"/>
      <c r="AQ38" s="2581"/>
      <c r="AR38" s="2584"/>
      <c r="AS38" s="2435"/>
      <c r="AT38" s="1552"/>
      <c r="AU38" s="1552"/>
      <c r="AV38" s="1552"/>
      <c r="AW38" s="1552"/>
      <c r="AX38" s="1552"/>
      <c r="AY38" s="1547">
        <v>19</v>
      </c>
    </row>
    <row r="39" spans="1:51" ht="19.899999999999999" customHeight="1">
      <c r="Q39" s="312"/>
      <c r="R39" s="312"/>
      <c r="S39" s="2576"/>
      <c r="T39" s="2524"/>
      <c r="U39" s="953"/>
      <c r="V39" s="2435"/>
      <c r="W39" s="2647" t="s">
        <v>534</v>
      </c>
      <c r="X39" s="2647" t="s">
        <v>535</v>
      </c>
      <c r="Y39" s="2647"/>
      <c r="Z39" s="2647" t="s">
        <v>536</v>
      </c>
      <c r="AA39" s="2647" t="s">
        <v>535</v>
      </c>
      <c r="AB39" s="2647"/>
      <c r="AC39" s="2500"/>
      <c r="AD39" s="2606"/>
      <c r="AE39" s="2501"/>
      <c r="AF39" s="2581"/>
      <c r="AG39" s="2435"/>
      <c r="AH39" s="2647" t="s">
        <v>534</v>
      </c>
      <c r="AI39" s="2647" t="s">
        <v>535</v>
      </c>
      <c r="AJ39" s="2647"/>
      <c r="AK39" s="2647" t="s">
        <v>536</v>
      </c>
      <c r="AL39" s="2647" t="s">
        <v>535</v>
      </c>
      <c r="AM39" s="2647"/>
      <c r="AN39" s="2500"/>
      <c r="AO39" s="2606"/>
      <c r="AP39" s="2501"/>
      <c r="AQ39" s="2581"/>
      <c r="AR39" s="2584"/>
      <c r="AS39" s="2435"/>
      <c r="AY39" s="1071">
        <v>19</v>
      </c>
    </row>
    <row r="40" spans="1:51" ht="61.9" customHeight="1">
      <c r="A40" s="1286"/>
      <c r="B40" s="1286" t="s">
        <v>136</v>
      </c>
      <c r="C40" s="1286" t="s">
        <v>137</v>
      </c>
      <c r="D40" s="1286" t="s">
        <v>138</v>
      </c>
      <c r="E40" s="1280" t="s">
        <v>436</v>
      </c>
      <c r="F40" s="1280" t="s">
        <v>437</v>
      </c>
      <c r="G40" s="1280" t="s">
        <v>438</v>
      </c>
      <c r="H40" s="1280"/>
      <c r="I40" s="1280" t="s">
        <v>489</v>
      </c>
      <c r="J40" s="1280" t="s">
        <v>441</v>
      </c>
      <c r="K40" s="1280" t="s">
        <v>490</v>
      </c>
      <c r="L40" s="1280" t="s">
        <v>417</v>
      </c>
      <c r="Q40" s="312"/>
      <c r="R40" s="312"/>
      <c r="S40" s="2576"/>
      <c r="T40" s="2524"/>
      <c r="U40" s="239"/>
      <c r="V40" s="2435"/>
      <c r="W40" s="2647"/>
      <c r="X40" s="1892" t="s">
        <v>537</v>
      </c>
      <c r="Y40" s="1892" t="s">
        <v>538</v>
      </c>
      <c r="Z40" s="2647"/>
      <c r="AA40" s="1892" t="s">
        <v>539</v>
      </c>
      <c r="AB40" s="1892" t="s">
        <v>540</v>
      </c>
      <c r="AC40" s="1405" t="s">
        <v>445</v>
      </c>
      <c r="AD40" s="2529" t="s">
        <v>446</v>
      </c>
      <c r="AE40" s="2543"/>
      <c r="AF40" s="2582"/>
      <c r="AG40" s="2435"/>
      <c r="AH40" s="2647"/>
      <c r="AI40" s="1892" t="s">
        <v>537</v>
      </c>
      <c r="AJ40" s="1892" t="s">
        <v>538</v>
      </c>
      <c r="AK40" s="2647"/>
      <c r="AL40" s="1892" t="s">
        <v>539</v>
      </c>
      <c r="AM40" s="1892" t="s">
        <v>540</v>
      </c>
      <c r="AN40" s="1405" t="s">
        <v>445</v>
      </c>
      <c r="AO40" s="2529" t="s">
        <v>446</v>
      </c>
      <c r="AP40" s="2543"/>
      <c r="AQ40" s="2582"/>
      <c r="AR40" s="2585"/>
      <c r="AS40" s="2435"/>
      <c r="AY40" s="1071">
        <v>59</v>
      </c>
    </row>
    <row r="41" spans="1:51" s="2335" customFormat="1" ht="11.25" hidden="1" customHeight="1">
      <c r="A41" s="1286"/>
      <c r="B41" s="1286"/>
      <c r="C41" s="1286"/>
      <c r="D41" s="1286"/>
      <c r="E41" s="1286"/>
      <c r="F41" s="1286"/>
      <c r="G41" s="1286"/>
      <c r="H41" s="1286"/>
      <c r="I41" s="1286"/>
      <c r="J41" s="1286"/>
      <c r="K41" s="1286"/>
      <c r="L41" s="1280"/>
      <c r="M41" s="1278"/>
      <c r="N41" s="1278"/>
      <c r="O41" s="1278"/>
      <c r="P41" s="1162"/>
      <c r="Q41" s="1163"/>
      <c r="R41" s="1170">
        <v>1</v>
      </c>
      <c r="S41" s="1193" t="s">
        <v>109</v>
      </c>
      <c r="T41" s="1171" t="s">
        <v>110</v>
      </c>
      <c r="U41" s="1161" t="str">
        <f ca="1">OFFSET(U41,0,-1)</f>
        <v>2</v>
      </c>
      <c r="V41" s="1398">
        <f ca="1">OFFSET(V41,0,-1)+1</f>
        <v>3</v>
      </c>
      <c r="W41" s="1888"/>
      <c r="X41" s="1888"/>
      <c r="Y41" s="1888"/>
      <c r="Z41" s="1888"/>
      <c r="AA41" s="1888"/>
      <c r="AB41" s="1398">
        <f ca="1">OFFSET(AB41,0,-1)+1</f>
        <v>1</v>
      </c>
      <c r="AC41" s="1398">
        <f ca="1">OFFSET(AC41,0,-1)+1</f>
        <v>2</v>
      </c>
      <c r="AD41" s="2574">
        <f ca="1">OFFSET(AD41,0,-1)+1</f>
        <v>3</v>
      </c>
      <c r="AE41" s="2574"/>
      <c r="AF41" s="1398">
        <f ca="1">OFFSET(AF41,0,-2)+1</f>
        <v>4</v>
      </c>
      <c r="AG41" s="1398">
        <f ca="1">OFFSET(AG41,0,-1)+1</f>
        <v>5</v>
      </c>
      <c r="AH41" s="1888"/>
      <c r="AI41" s="1888"/>
      <c r="AJ41" s="1888"/>
      <c r="AK41" s="1888"/>
      <c r="AL41" s="1888"/>
      <c r="AM41" s="1398">
        <f ca="1">OFFSET(AM41,0,-1)+1</f>
        <v>1</v>
      </c>
      <c r="AN41" s="1398">
        <f ca="1">OFFSET(AN41,0,-1)+1</f>
        <v>2</v>
      </c>
      <c r="AO41" s="2574">
        <f ca="1">OFFSET(AO41,0,-1)+1</f>
        <v>3</v>
      </c>
      <c r="AP41" s="2574"/>
      <c r="AQ41" s="1398">
        <f ca="1">OFFSET(AQ41,0,-2)+1</f>
        <v>4</v>
      </c>
      <c r="AR41" s="1161">
        <f ca="1">OFFSET(AR41,0,-1)</f>
        <v>4</v>
      </c>
      <c r="AS41" s="1398">
        <f ca="1">OFFSET(AS41,0,-1)+1</f>
        <v>5</v>
      </c>
      <c r="AT41" s="447"/>
      <c r="AU41" s="447"/>
      <c r="AV41" s="447"/>
      <c r="AW41" s="447"/>
      <c r="AX41" s="447"/>
      <c r="AY41" s="432">
        <v>0</v>
      </c>
    </row>
    <row r="42" spans="1:51" ht="24" customHeight="1">
      <c r="A42" s="1279" t="s">
        <v>255</v>
      </c>
      <c r="B42" s="1279"/>
      <c r="C42" s="1279"/>
      <c r="D42" s="1279"/>
      <c r="E42" s="2563">
        <v>1</v>
      </c>
      <c r="F42" s="1279"/>
      <c r="G42" s="1279"/>
      <c r="H42" s="1279"/>
      <c r="I42" s="1279"/>
      <c r="J42" s="1279"/>
      <c r="K42" s="1279"/>
      <c r="L42" s="1280"/>
      <c r="M42" s="1281"/>
      <c r="N42" s="1281"/>
      <c r="O42" s="1281"/>
      <c r="P42" s="297"/>
      <c r="Q42" s="296"/>
      <c r="R42" s="291"/>
      <c r="S42" s="1409">
        <f>INDEX(PT_DIFFERENTIATION_NUM_NTAR,MATCH(A42,PT_DIFFERENTIATION_NTAR_ID,0))</f>
        <v>0</v>
      </c>
      <c r="T42" s="235" t="s">
        <v>124</v>
      </c>
      <c r="U42" s="237"/>
      <c r="V42" s="2557"/>
      <c r="W42" s="2558"/>
      <c r="X42" s="2558"/>
      <c r="Y42" s="2558"/>
      <c r="Z42" s="2558"/>
      <c r="AA42" s="2558"/>
      <c r="AB42" s="2558"/>
      <c r="AC42" s="2558"/>
      <c r="AD42" s="2558"/>
      <c r="AE42" s="2558"/>
      <c r="AF42" s="2559"/>
      <c r="AG42" s="2557" t="str">
        <f>INDEX(PT_DIFFERENTIATION_NTAR,MATCH(A42,PT_DIFFERENTIATION_NTAR_ID,0))</f>
        <v/>
      </c>
      <c r="AH42" s="2558"/>
      <c r="AI42" s="2558"/>
      <c r="AJ42" s="2558"/>
      <c r="AK42" s="2558"/>
      <c r="AL42" s="2558"/>
      <c r="AM42" s="2558"/>
      <c r="AN42" s="2558"/>
      <c r="AO42" s="2558"/>
      <c r="AP42" s="2558"/>
      <c r="AQ42" s="2558"/>
      <c r="AR42" s="2559"/>
      <c r="AS4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1">
        <v>23</v>
      </c>
    </row>
    <row r="43" spans="1:51" ht="24" customHeight="1">
      <c r="A43" s="1279" t="s">
        <v>255</v>
      </c>
      <c r="B43" s="1279" t="s">
        <v>256</v>
      </c>
      <c r="C43" s="1279"/>
      <c r="D43" s="1279"/>
      <c r="E43" s="2564"/>
      <c r="F43" s="2563">
        <v>1</v>
      </c>
      <c r="G43" s="1279"/>
      <c r="H43" s="1279"/>
      <c r="I43" s="1279"/>
      <c r="J43" s="1279"/>
      <c r="K43" s="1279"/>
      <c r="L43" s="1280"/>
      <c r="M43" s="1281"/>
      <c r="N43" s="1281"/>
      <c r="O43" s="1281"/>
      <c r="P43" s="1403"/>
      <c r="Q43" s="288"/>
      <c r="R43" s="289"/>
      <c r="S43" s="1409" t="str">
        <f>INDEX(PT_DIFFERENTIATION_NUM_TER,MATCH(B43,PT_DIFFERENTIATION_TER_ID,0))</f>
        <v>.</v>
      </c>
      <c r="T43" s="245" t="s">
        <v>396</v>
      </c>
      <c r="U43" s="237"/>
      <c r="V43" s="2557"/>
      <c r="W43" s="2558"/>
      <c r="X43" s="2558"/>
      <c r="Y43" s="2558"/>
      <c r="Z43" s="2558"/>
      <c r="AA43" s="2558"/>
      <c r="AB43" s="2558"/>
      <c r="AC43" s="2558"/>
      <c r="AD43" s="2558"/>
      <c r="AE43" s="2558"/>
      <c r="AF43" s="2559"/>
      <c r="AG43" s="2557" t="str">
        <f>INDEX(PT_DIFFERENTIATION_TER,MATCH(B43,PT_DIFFERENTIATION_TER_ID,0))</f>
        <v/>
      </c>
      <c r="AH43" s="2558"/>
      <c r="AI43" s="2558"/>
      <c r="AJ43" s="2558"/>
      <c r="AK43" s="2558"/>
      <c r="AL43" s="2558"/>
      <c r="AM43" s="2558"/>
      <c r="AN43" s="2558"/>
      <c r="AO43" s="2558"/>
      <c r="AP43" s="2558"/>
      <c r="AQ43" s="2558"/>
      <c r="AR43" s="2559"/>
      <c r="AS43" s="1174" t="s">
        <v>397</v>
      </c>
      <c r="AU43" s="436"/>
      <c r="AV43" s="436" t="str">
        <f t="shared" si="1"/>
        <v>Территория действия тарифа</v>
      </c>
      <c r="AW43" s="436"/>
      <c r="AX43" s="436"/>
      <c r="AY43" s="1071">
        <v>23</v>
      </c>
    </row>
    <row r="44" spans="1:51" ht="24" customHeight="1">
      <c r="A44" s="1279" t="s">
        <v>255</v>
      </c>
      <c r="B44" s="1279" t="s">
        <v>256</v>
      </c>
      <c r="C44" s="1279" t="s">
        <v>257</v>
      </c>
      <c r="D44" s="1279"/>
      <c r="E44" s="2564"/>
      <c r="F44" s="2564"/>
      <c r="G44" s="2563">
        <v>1</v>
      </c>
      <c r="H44" s="1279"/>
      <c r="I44" s="1279"/>
      <c r="J44" s="1279"/>
      <c r="K44" s="1279"/>
      <c r="L44" s="1280"/>
      <c r="M44" s="1281"/>
      <c r="N44" s="1281"/>
      <c r="O44" s="1281"/>
      <c r="P44" s="290"/>
      <c r="Q44" s="288"/>
      <c r="R44" s="289"/>
      <c r="S44" s="1409" t="str">
        <f>INDEX(PT_DIFFERENTIATION_NUM_CS,MATCH(C44,PT_DIFFERENTIATION_CS_ID,0))</f>
        <v>..</v>
      </c>
      <c r="T44" s="246" t="s">
        <v>529</v>
      </c>
      <c r="U44" s="237"/>
      <c r="V44" s="2557"/>
      <c r="W44" s="2558"/>
      <c r="X44" s="2558"/>
      <c r="Y44" s="2558"/>
      <c r="Z44" s="2558"/>
      <c r="AA44" s="2558"/>
      <c r="AB44" s="2558"/>
      <c r="AC44" s="2558"/>
      <c r="AD44" s="2558"/>
      <c r="AE44" s="2558"/>
      <c r="AF44" s="2559"/>
      <c r="AG44" s="2557" t="str">
        <f>INDEX(PT_DIFFERENTIATION_CS,MATCH(C44,PT_DIFFERENTIATION_CS_ID,0))</f>
        <v/>
      </c>
      <c r="AH44" s="2558"/>
      <c r="AI44" s="2558"/>
      <c r="AJ44" s="2558"/>
      <c r="AK44" s="2558"/>
      <c r="AL44" s="2558"/>
      <c r="AM44" s="2558"/>
      <c r="AN44" s="2558"/>
      <c r="AO44" s="2558"/>
      <c r="AP44" s="2558"/>
      <c r="AQ44" s="2558"/>
      <c r="AR44" s="2559"/>
      <c r="AS44" s="1174" t="s">
        <v>530</v>
      </c>
      <c r="AU44" s="436"/>
      <c r="AV44" s="436" t="str">
        <f t="shared" si="1"/>
        <v>Наименование централизованной системы горячего водоснабжения</v>
      </c>
      <c r="AW44" s="436"/>
      <c r="AX44" s="436"/>
      <c r="AY44" s="1071">
        <v>23</v>
      </c>
    </row>
    <row r="45" spans="1:51" ht="24" customHeight="1">
      <c r="A45" s="1279" t="s">
        <v>255</v>
      </c>
      <c r="B45" s="1279" t="s">
        <v>256</v>
      </c>
      <c r="C45" s="1279" t="s">
        <v>257</v>
      </c>
      <c r="D45" s="1279" t="s">
        <v>542</v>
      </c>
      <c r="E45" s="2564"/>
      <c r="F45" s="2564"/>
      <c r="G45" s="2564"/>
      <c r="H45" s="2564"/>
      <c r="I45" s="2565" t="str">
        <f>S44&amp;".1"</f>
        <v>...1</v>
      </c>
      <c r="J45" s="1279"/>
      <c r="K45" s="1279"/>
      <c r="L45" s="1280"/>
      <c r="P45" s="2567">
        <v>1</v>
      </c>
      <c r="Q45" s="1397"/>
      <c r="R45" s="292"/>
      <c r="S45" s="1409" t="str">
        <f>$I45</f>
        <v>...1</v>
      </c>
      <c r="T45" s="222" t="s">
        <v>482</v>
      </c>
      <c r="U45" s="237"/>
      <c r="V45" s="2631"/>
      <c r="W45" s="2632"/>
      <c r="X45" s="2632"/>
      <c r="Y45" s="2632"/>
      <c r="Z45" s="2632"/>
      <c r="AA45" s="2632"/>
      <c r="AB45" s="2632"/>
      <c r="AC45" s="2632"/>
      <c r="AD45" s="2632"/>
      <c r="AE45" s="2632"/>
      <c r="AF45" s="2633"/>
      <c r="AG45" s="2634"/>
      <c r="AH45" s="2635"/>
      <c r="AI45" s="2635"/>
      <c r="AJ45" s="2635"/>
      <c r="AK45" s="2635"/>
      <c r="AL45" s="2635"/>
      <c r="AM45" s="2635"/>
      <c r="AN45" s="2635"/>
      <c r="AO45" s="2635"/>
      <c r="AP45" s="2635"/>
      <c r="AQ45" s="2635"/>
      <c r="AR45" s="2636"/>
      <c r="AS45" s="1174" t="s">
        <v>483</v>
      </c>
      <c r="AU45" s="436"/>
      <c r="AV45" s="436" t="str">
        <f t="shared" si="1"/>
        <v>Наименование признака дифференциации</v>
      </c>
      <c r="AW45" s="436"/>
      <c r="AX45" s="436"/>
      <c r="AY45" s="1071">
        <v>23</v>
      </c>
    </row>
    <row r="46" spans="1:51" ht="24" customHeight="1">
      <c r="A46" s="1279" t="s">
        <v>255</v>
      </c>
      <c r="B46" s="1279" t="s">
        <v>256</v>
      </c>
      <c r="C46" s="1279" t="s">
        <v>257</v>
      </c>
      <c r="D46" s="1279" t="s">
        <v>542</v>
      </c>
      <c r="E46" s="2564"/>
      <c r="F46" s="2564"/>
      <c r="G46" s="2564"/>
      <c r="H46" s="2564"/>
      <c r="I46" s="2566"/>
      <c r="J46" s="2565" t="str">
        <f>I45&amp;".1"</f>
        <v>...1.1</v>
      </c>
      <c r="K46" s="1279"/>
      <c r="L46" s="1280" t="s">
        <v>405</v>
      </c>
      <c r="P46" s="2567"/>
      <c r="Q46" s="2567">
        <v>1</v>
      </c>
      <c r="R46" s="293"/>
      <c r="S46" s="1409" t="str">
        <f>$J46</f>
        <v>...1.1</v>
      </c>
      <c r="T46" s="223" t="s">
        <v>406</v>
      </c>
      <c r="U46" s="237"/>
      <c r="V46" s="2551"/>
      <c r="W46" s="2552"/>
      <c r="X46" s="2552"/>
      <c r="Y46" s="2552"/>
      <c r="Z46" s="2552"/>
      <c r="AA46" s="2552"/>
      <c r="AB46" s="2552"/>
      <c r="AC46" s="2552"/>
      <c r="AD46" s="2552"/>
      <c r="AE46" s="2552"/>
      <c r="AF46" s="2553"/>
      <c r="AG46" s="2551"/>
      <c r="AH46" s="2552"/>
      <c r="AI46" s="2552"/>
      <c r="AJ46" s="2552"/>
      <c r="AK46" s="2552"/>
      <c r="AL46" s="2552"/>
      <c r="AM46" s="2552"/>
      <c r="AN46" s="2552"/>
      <c r="AO46" s="2552"/>
      <c r="AP46" s="2552"/>
      <c r="AQ46" s="2552"/>
      <c r="AR46" s="2553"/>
      <c r="AS46" s="1223" t="s">
        <v>484</v>
      </c>
      <c r="AU46" s="436"/>
      <c r="AV46" s="436" t="str">
        <f t="shared" si="1"/>
        <v>Группа потребителей</v>
      </c>
      <c r="AW46" s="436"/>
      <c r="AX46" s="436"/>
      <c r="AY46" s="1071">
        <v>23</v>
      </c>
    </row>
    <row r="47" spans="1:51" ht="24" customHeight="1">
      <c r="A47" s="1279" t="s">
        <v>255</v>
      </c>
      <c r="B47" s="1279" t="s">
        <v>256</v>
      </c>
      <c r="C47" s="1279" t="s">
        <v>257</v>
      </c>
      <c r="D47" s="1279" t="s">
        <v>542</v>
      </c>
      <c r="E47" s="2564"/>
      <c r="F47" s="2564"/>
      <c r="G47" s="2564"/>
      <c r="H47" s="2564"/>
      <c r="I47" s="2566"/>
      <c r="J47" s="2566"/>
      <c r="K47" s="2565" t="str">
        <f>J46&amp;".1"</f>
        <v>...1.1.1</v>
      </c>
      <c r="L47" s="1280"/>
      <c r="P47" s="2567"/>
      <c r="Q47" s="2567"/>
      <c r="R47" s="293">
        <v>1</v>
      </c>
      <c r="S47" s="1409" t="str">
        <f>$K47</f>
        <v>...1.1.1</v>
      </c>
      <c r="T47" s="1353"/>
      <c r="U47" s="237"/>
      <c r="V47" s="1276"/>
      <c r="W47" s="1276"/>
      <c r="X47" s="1276"/>
      <c r="Y47" s="1276"/>
      <c r="Z47" s="1276"/>
      <c r="AA47" s="1276"/>
      <c r="AB47" s="1277"/>
      <c r="AC47" s="2561"/>
      <c r="AD47" s="2560" t="s">
        <v>62</v>
      </c>
      <c r="AE47" s="2561"/>
      <c r="AF47" s="2560" t="s">
        <v>62</v>
      </c>
      <c r="AG47" s="687"/>
      <c r="AH47" s="687"/>
      <c r="AI47" s="687"/>
      <c r="AJ47" s="687"/>
      <c r="AK47" s="687"/>
      <c r="AL47" s="687"/>
      <c r="AM47" s="1173"/>
      <c r="AN47" s="2568"/>
      <c r="AO47" s="2445" t="s">
        <v>62</v>
      </c>
      <c r="AP47" s="2570"/>
      <c r="AQ47" s="2445" t="s">
        <v>19</v>
      </c>
      <c r="AR47" s="1354"/>
      <c r="AS4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1">
        <v>23</v>
      </c>
    </row>
    <row r="48" spans="1:51" ht="0" hidden="1" customHeight="1">
      <c r="A48" s="1279" t="s">
        <v>255</v>
      </c>
      <c r="B48" s="1279" t="s">
        <v>256</v>
      </c>
      <c r="C48" s="1279" t="s">
        <v>257</v>
      </c>
      <c r="D48" s="1279" t="s">
        <v>542</v>
      </c>
      <c r="E48" s="2564"/>
      <c r="F48" s="2564"/>
      <c r="G48" s="2564"/>
      <c r="H48" s="2564"/>
      <c r="I48" s="2566"/>
      <c r="J48" s="2566"/>
      <c r="K48" s="2565"/>
      <c r="L48" s="1280"/>
      <c r="P48" s="2567"/>
      <c r="Q48" s="2567"/>
      <c r="R48" s="293"/>
      <c r="S48" s="1406"/>
      <c r="T48" s="237"/>
      <c r="U48" s="237"/>
      <c r="V48" s="1276"/>
      <c r="W48" s="1276"/>
      <c r="X48" s="1276"/>
      <c r="Y48" s="1276"/>
      <c r="Z48" s="1276"/>
      <c r="AA48" s="1276"/>
      <c r="AB48" s="265" t="str">
        <f>AC47&amp;"-"&amp;AE47</f>
        <v>-</v>
      </c>
      <c r="AC48" s="2560"/>
      <c r="AD48" s="2560"/>
      <c r="AE48" s="2560"/>
      <c r="AF48" s="2560"/>
      <c r="AG48" s="262"/>
      <c r="AH48" s="262"/>
      <c r="AI48" s="262"/>
      <c r="AJ48" s="262"/>
      <c r="AK48" s="262"/>
      <c r="AL48" s="262"/>
      <c r="AM48" s="265" t="str">
        <f>AN47&amp;"-"&amp;AP47</f>
        <v>-</v>
      </c>
      <c r="AN48" s="2569"/>
      <c r="AO48" s="2445"/>
      <c r="AP48" s="2571"/>
      <c r="AQ48" s="2445"/>
      <c r="AR48" s="1355"/>
      <c r="AS48" s="2637"/>
      <c r="AU48" s="436"/>
      <c r="AV48" s="436" t="str">
        <f t="shared" si="1"/>
        <v/>
      </c>
      <c r="AW48" s="436"/>
      <c r="AX48" s="436"/>
      <c r="AY48" s="1071">
        <v>0</v>
      </c>
    </row>
    <row r="49" spans="1:51" ht="21" customHeight="1">
      <c r="A49" s="1279" t="s">
        <v>255</v>
      </c>
      <c r="B49" s="1279" t="s">
        <v>256</v>
      </c>
      <c r="C49" s="1279" t="s">
        <v>257</v>
      </c>
      <c r="D49" s="1279" t="s">
        <v>542</v>
      </c>
      <c r="E49" s="2564"/>
      <c r="F49" s="2564"/>
      <c r="G49" s="2564"/>
      <c r="H49" s="2564"/>
      <c r="I49" s="2566"/>
      <c r="J49" s="2565"/>
      <c r="K49" s="1279"/>
      <c r="L49" s="1280"/>
      <c r="P49" s="2567"/>
      <c r="Q49" s="2567"/>
      <c r="R49" s="292"/>
      <c r="S49" s="119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4" t="s">
        <v>486</v>
      </c>
      <c r="AU49" s="436"/>
      <c r="AV49" s="436" t="str">
        <f t="shared" si="1"/>
        <v>Добавить значение признака дифференциации</v>
      </c>
      <c r="AW49" s="436"/>
      <c r="AX49" s="436"/>
      <c r="AY49" s="1071">
        <v>20</v>
      </c>
    </row>
    <row r="50" spans="1:51" ht="21.95" customHeight="1">
      <c r="A50" s="1279" t="s">
        <v>255</v>
      </c>
      <c r="B50" s="1279" t="s">
        <v>256</v>
      </c>
      <c r="C50" s="1279" t="s">
        <v>257</v>
      </c>
      <c r="D50" s="1279" t="s">
        <v>542</v>
      </c>
      <c r="E50" s="2564"/>
      <c r="F50" s="2564"/>
      <c r="G50" s="2564"/>
      <c r="H50" s="2564"/>
      <c r="I50" s="2565"/>
      <c r="J50" s="1279"/>
      <c r="K50" s="1279"/>
      <c r="L50" s="1280"/>
      <c r="P50" s="2567"/>
      <c r="Q50" s="1397"/>
      <c r="R50" s="292"/>
      <c r="S50" s="119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6"/>
      <c r="AU50" s="436"/>
      <c r="AV50" s="436" t="str">
        <f t="shared" si="1"/>
        <v>Добавить группу потребителей</v>
      </c>
      <c r="AW50" s="436"/>
      <c r="AX50" s="436"/>
      <c r="AY50" s="1071">
        <v>21</v>
      </c>
    </row>
    <row r="51" spans="1:51" ht="21.95" customHeight="1">
      <c r="A51" s="1279" t="s">
        <v>255</v>
      </c>
      <c r="B51" s="1279" t="s">
        <v>256</v>
      </c>
      <c r="C51" s="1279" t="s">
        <v>257</v>
      </c>
      <c r="D51" s="1279" t="s">
        <v>542</v>
      </c>
      <c r="E51" s="2564"/>
      <c r="F51" s="2564"/>
      <c r="G51" s="2564"/>
      <c r="H51" s="2563"/>
      <c r="I51" s="1279"/>
      <c r="J51" s="1279"/>
      <c r="K51" s="1279"/>
      <c r="L51" s="1280"/>
      <c r="M51" s="1281"/>
      <c r="N51" s="1281"/>
      <c r="O51" s="473"/>
      <c r="P51" s="296"/>
      <c r="Q51" s="311"/>
      <c r="R51" s="291"/>
      <c r="S51" s="119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1">
        <v>21</v>
      </c>
    </row>
    <row r="52" spans="1:51" s="2344" customFormat="1" ht="0" hidden="1" customHeight="1">
      <c r="A52" s="1259" t="s">
        <v>255</v>
      </c>
      <c r="B52" s="1259" t="s">
        <v>256</v>
      </c>
      <c r="C52" s="1230"/>
      <c r="D52" s="1230"/>
      <c r="E52" s="2564"/>
      <c r="F52" s="2563"/>
      <c r="G52" s="1230"/>
      <c r="H52" s="1230"/>
      <c r="I52" s="1230"/>
      <c r="J52" s="1230"/>
      <c r="K52" s="1230"/>
      <c r="L52" s="1410"/>
      <c r="M52" s="1237"/>
      <c r="N52" s="1237"/>
      <c r="P52" s="1232"/>
      <c r="Q52" s="1233"/>
      <c r="R52" s="1232"/>
      <c r="S52" s="1238"/>
      <c r="T52" s="1241" t="s">
        <v>414</v>
      </c>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1240"/>
      <c r="AP52" s="1240"/>
      <c r="AQ52" s="1240"/>
      <c r="AR52" s="1240"/>
      <c r="AS52" s="1240"/>
      <c r="AU52" s="719"/>
      <c r="AV52" s="719" t="str">
        <f t="shared" si="1"/>
        <v>Добавить централизованную систему для дифференциации</v>
      </c>
      <c r="AW52" s="719"/>
      <c r="AX52" s="719"/>
      <c r="AY52" s="454">
        <v>0</v>
      </c>
    </row>
    <row r="53" spans="1:51" s="2344" customFormat="1" ht="0" hidden="1" customHeight="1">
      <c r="A53" s="1259" t="s">
        <v>255</v>
      </c>
      <c r="B53" s="1259"/>
      <c r="C53" s="1259"/>
      <c r="D53" s="1259"/>
      <c r="E53" s="2563"/>
      <c r="F53" s="1259"/>
      <c r="G53" s="1259"/>
      <c r="H53" s="1259"/>
      <c r="I53" s="1259"/>
      <c r="J53" s="1259"/>
      <c r="K53" s="1259"/>
      <c r="L53" s="1262"/>
      <c r="M53" s="1237"/>
      <c r="N53" s="1237"/>
      <c r="O53" s="454"/>
      <c r="P53" s="316"/>
      <c r="Q53" s="1260"/>
      <c r="R53" s="316"/>
      <c r="S53" s="1238"/>
      <c r="T53" s="1241" t="s">
        <v>415</v>
      </c>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1240"/>
      <c r="AP53" s="1240"/>
      <c r="AQ53" s="1240"/>
      <c r="AR53" s="1240"/>
      <c r="AS53" s="1240"/>
      <c r="AU53" s="436"/>
      <c r="AV53" s="436" t="str">
        <f t="shared" si="1"/>
        <v>Добавить территорию для дифференциации</v>
      </c>
      <c r="AW53" s="436"/>
      <c r="AX53" s="436"/>
      <c r="AY53" s="447">
        <v>0</v>
      </c>
    </row>
    <row r="54" spans="1:51" s="2344" customFormat="1" ht="0" hidden="1" customHeight="1">
      <c r="A54" s="1230"/>
      <c r="B54" s="1230"/>
      <c r="C54" s="1230"/>
      <c r="D54" s="1230"/>
      <c r="E54" s="1259"/>
      <c r="F54" s="1230"/>
      <c r="G54" s="1230"/>
      <c r="H54" s="1230"/>
      <c r="I54" s="1230"/>
      <c r="J54" s="1230"/>
      <c r="K54" s="1230"/>
      <c r="L54" s="1410"/>
      <c r="M54" s="1237"/>
      <c r="N54" s="1237"/>
      <c r="P54" s="1232"/>
      <c r="Q54" s="1233"/>
      <c r="R54" s="1232"/>
      <c r="S54" s="1238"/>
      <c r="T54" s="1241" t="s">
        <v>447</v>
      </c>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U54" s="719"/>
      <c r="AV54" s="719" t="str">
        <f t="shared" si="1"/>
        <v>Добавить наименование тарифа</v>
      </c>
      <c r="AW54" s="719"/>
      <c r="AX54" s="719"/>
      <c r="AY54" s="454">
        <v>0</v>
      </c>
    </row>
    <row r="55" spans="1:51" ht="11.45" customHeight="1">
      <c r="M55" s="1076"/>
      <c r="N55" s="1076"/>
      <c r="O55" s="473"/>
      <c r="P55" s="1071"/>
      <c r="Q55" s="1071"/>
      <c r="R55" s="1071"/>
      <c r="S55" s="1071"/>
      <c r="AT55" s="1071"/>
      <c r="AU55" s="1071"/>
      <c r="AV55" s="1071"/>
      <c r="AW55" s="1071"/>
      <c r="AX55" s="1071"/>
      <c r="AY55" s="1071">
        <v>11</v>
      </c>
    </row>
    <row r="56" spans="1:51" ht="14.65" customHeight="1">
      <c r="O56" s="473"/>
      <c r="S56" s="1169"/>
      <c r="T56" s="2562"/>
      <c r="U56" s="2562"/>
      <c r="V56" s="2562"/>
      <c r="W56" s="2562"/>
      <c r="X56" s="2562"/>
      <c r="Y56" s="2562"/>
      <c r="Z56" s="2562"/>
      <c r="AA56" s="2562"/>
      <c r="AB56" s="2562"/>
      <c r="AC56" s="2562"/>
      <c r="AD56" s="2562"/>
      <c r="AE56" s="2562"/>
      <c r="AF56" s="2562"/>
      <c r="AG56" s="2562"/>
      <c r="AH56" s="2562"/>
      <c r="AI56" s="2562"/>
      <c r="AJ56" s="2562"/>
      <c r="AK56" s="2562"/>
      <c r="AL56" s="2562"/>
      <c r="AM56" s="2562"/>
      <c r="AN56" s="2562"/>
      <c r="AO56" s="2562"/>
      <c r="AP56" s="2562"/>
      <c r="AQ56" s="2562"/>
      <c r="AR56" s="2562"/>
      <c r="AS56" s="2562"/>
      <c r="AY56" s="1071">
        <v>14</v>
      </c>
    </row>
    <row r="57" spans="1:51" ht="14.65" customHeight="1">
      <c r="O57" s="473"/>
      <c r="AY57" s="1071">
        <v>14</v>
      </c>
    </row>
    <row r="58" spans="1:51" ht="14.65" customHeight="1">
      <c r="O58" s="473"/>
      <c r="S58" s="1169"/>
      <c r="T58" s="2562"/>
      <c r="U58" s="2562"/>
      <c r="V58" s="2562"/>
      <c r="W58" s="2562"/>
      <c r="X58" s="2562"/>
      <c r="Y58" s="2562"/>
      <c r="Z58" s="2562"/>
      <c r="AA58" s="2562"/>
      <c r="AB58" s="2562"/>
      <c r="AC58" s="2562"/>
      <c r="AD58" s="2562"/>
      <c r="AE58" s="2562"/>
      <c r="AF58" s="2562"/>
      <c r="AG58" s="2562"/>
      <c r="AH58" s="2562"/>
      <c r="AI58" s="2562"/>
      <c r="AJ58" s="2562"/>
      <c r="AK58" s="2562"/>
      <c r="AL58" s="2562"/>
      <c r="AM58" s="2562"/>
      <c r="AN58" s="2562"/>
      <c r="AO58" s="2562"/>
      <c r="AP58" s="2562"/>
      <c r="AQ58" s="2562"/>
      <c r="AR58" s="2562"/>
      <c r="AS58" s="2562"/>
      <c r="AY58" s="1071">
        <v>14</v>
      </c>
    </row>
    <row r="59" spans="1:51" ht="22.5" hidden="1" customHeight="1">
      <c r="A59" s="1076" t="s">
        <v>82</v>
      </c>
      <c r="B59" s="1076">
        <v>0</v>
      </c>
      <c r="C59" s="1076">
        <v>0</v>
      </c>
      <c r="D59" s="1076">
        <v>0</v>
      </c>
      <c r="E59" s="1076">
        <v>0</v>
      </c>
      <c r="F59" s="1076">
        <v>0</v>
      </c>
      <c r="G59" s="1076">
        <v>0</v>
      </c>
      <c r="H59" s="1076">
        <v>0</v>
      </c>
      <c r="I59" s="1076">
        <v>0</v>
      </c>
      <c r="J59" s="1076">
        <v>0</v>
      </c>
      <c r="K59" s="1076">
        <v>0</v>
      </c>
      <c r="L59" s="1394">
        <v>0</v>
      </c>
      <c r="M59" s="1278">
        <v>0</v>
      </c>
      <c r="N59" s="1278">
        <v>0</v>
      </c>
      <c r="O59" s="1278">
        <v>0</v>
      </c>
      <c r="P59" s="1389">
        <v>3</v>
      </c>
      <c r="Q59" s="281">
        <v>3</v>
      </c>
      <c r="R59" s="281">
        <v>3</v>
      </c>
      <c r="S59" s="517">
        <v>12</v>
      </c>
      <c r="T59" s="1071">
        <v>35</v>
      </c>
      <c r="U59" s="1071">
        <v>0</v>
      </c>
      <c r="V59" s="1071">
        <v>0</v>
      </c>
      <c r="W59" s="1547">
        <v>0</v>
      </c>
      <c r="X59" s="1547">
        <v>0</v>
      </c>
      <c r="Y59" s="1547">
        <v>0</v>
      </c>
      <c r="Z59" s="1547">
        <v>0</v>
      </c>
      <c r="AA59" s="1547">
        <v>0</v>
      </c>
      <c r="AB59" s="1071">
        <v>0</v>
      </c>
      <c r="AC59" s="1071">
        <v>0</v>
      </c>
      <c r="AD59" s="1071">
        <v>0</v>
      </c>
      <c r="AE59" s="1071">
        <v>0</v>
      </c>
      <c r="AF59" s="1071">
        <v>0</v>
      </c>
      <c r="AG59" s="1071">
        <v>19</v>
      </c>
      <c r="AH59" s="1547">
        <v>19</v>
      </c>
      <c r="AI59" s="1547">
        <v>19</v>
      </c>
      <c r="AJ59" s="1547">
        <v>19</v>
      </c>
      <c r="AK59" s="1547">
        <v>19</v>
      </c>
      <c r="AL59" s="1547">
        <v>19</v>
      </c>
      <c r="AM59" s="1071">
        <v>19</v>
      </c>
      <c r="AN59" s="1071">
        <v>11</v>
      </c>
      <c r="AO59" s="1071">
        <v>3</v>
      </c>
      <c r="AP59" s="1071">
        <v>11</v>
      </c>
      <c r="AQ59" s="1071">
        <v>0</v>
      </c>
      <c r="AR59" s="1071">
        <v>4</v>
      </c>
      <c r="AS59" s="1071">
        <v>115</v>
      </c>
      <c r="AT59" s="447">
        <v>10</v>
      </c>
      <c r="AU59" s="447">
        <v>10</v>
      </c>
      <c r="AV59" s="447">
        <v>10</v>
      </c>
      <c r="AW59" s="447">
        <v>10</v>
      </c>
      <c r="AX59" s="447">
        <v>10</v>
      </c>
      <c r="AY59" s="107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57" hidden="1" customWidth="1"/>
    <col min="2" max="2" width="11" style="2357" hidden="1" customWidth="1"/>
    <col min="3" max="3" width="10.5703125" style="2357" hidden="1"/>
    <col min="4" max="4" width="12.85546875" style="2357" hidden="1" customWidth="1"/>
    <col min="5" max="5" width="10" style="2357" hidden="1" customWidth="1"/>
    <col min="6" max="6" width="8.7109375" style="2357" hidden="1" customWidth="1"/>
    <col min="7" max="7" width="7.5703125" style="2357" hidden="1" customWidth="1"/>
    <col min="8" max="8" width="11.42578125" style="2357" hidden="1" customWidth="1"/>
    <col min="9" max="9" width="12" style="2357" hidden="1" customWidth="1"/>
    <col min="10" max="10" width="9.85546875" style="2357" hidden="1" customWidth="1"/>
    <col min="11" max="11" width="11.42578125" style="2357" hidden="1" customWidth="1"/>
    <col min="12" max="12" width="19.140625" style="2389" hidden="1" customWidth="1"/>
    <col min="13" max="14" width="12.28515625" style="2336" hidden="1" customWidth="1"/>
    <col min="15" max="15" width="23.42578125" style="2336" hidden="1" customWidth="1"/>
    <col min="16" max="16" width="3.7109375" style="2336" hidden="1" customWidth="1"/>
    <col min="17" max="17" width="3.7109375" style="2339" hidden="1" customWidth="1"/>
    <col min="18" max="18" width="3" style="2359" customWidth="1"/>
    <col min="19" max="19" width="12" style="2387" customWidth="1"/>
    <col min="20" max="20" width="31" style="2360" customWidth="1"/>
    <col min="21" max="21" width="0.140625" style="2360" customWidth="1"/>
    <col min="22" max="25" width="21.7109375" style="2360" hidden="1" customWidth="1"/>
    <col min="26" max="26" width="11.7109375" style="2360" hidden="1" customWidth="1"/>
    <col min="27" max="27" width="3.7109375" style="2360" hidden="1" customWidth="1"/>
    <col min="28" max="28" width="11.7109375" style="2360" hidden="1" customWidth="1"/>
    <col min="29" max="29" width="8.5703125" style="2360" hidden="1" customWidth="1"/>
    <col min="30" max="30" width="3.7109375" style="2360" customWidth="1"/>
    <col min="31" max="32" width="3" style="2360" customWidth="1"/>
    <col min="33" max="33" width="24" style="2360" customWidth="1"/>
    <col min="34" max="34" width="3.7109375" style="2360" customWidth="1"/>
    <col min="35" max="36" width="3" style="2360" customWidth="1"/>
    <col min="37" max="37" width="24" style="2360" customWidth="1"/>
    <col min="38" max="38" width="3.7109375" style="2360" customWidth="1"/>
    <col min="39" max="40" width="3" style="2360" customWidth="1"/>
    <col min="41" max="41" width="18" style="2360" customWidth="1"/>
    <col min="42" max="42" width="3.7109375" style="2360" customWidth="1"/>
    <col min="43" max="44" width="3" style="2360" customWidth="1"/>
    <col min="45" max="45" width="18" style="2360" customWidth="1"/>
    <col min="46" max="49" width="21" style="2360" customWidth="1"/>
    <col min="50" max="50" width="11" style="2360" customWidth="1"/>
    <col min="51" max="51" width="3.7109375" style="2360" customWidth="1"/>
    <col min="52" max="52" width="11" style="2360" customWidth="1"/>
    <col min="53" max="53" width="8.5703125" style="2360" hidden="1" customWidth="1"/>
    <col min="54" max="54" width="4" style="2360" customWidth="1"/>
    <col min="55" max="55" width="115" style="2360" customWidth="1"/>
    <col min="56" max="60" width="10" style="2344" customWidth="1"/>
    <col min="61" max="61" width="10.5703125" style="2360" hidden="1"/>
  </cols>
  <sheetData>
    <row r="1" spans="1:61" ht="22.5" hidden="1" customHeight="1">
      <c r="W1" s="264"/>
      <c r="Y1" s="264"/>
      <c r="Z1" s="264"/>
      <c r="AW1" s="264"/>
      <c r="AX1" s="264"/>
      <c r="BI1" s="1071" t="s">
        <v>14</v>
      </c>
    </row>
    <row r="2" spans="1:61" ht="21" hidden="1" customHeight="1">
      <c r="A2" s="1279"/>
      <c r="B2" s="1279"/>
      <c r="C2" s="1279"/>
      <c r="D2" s="1279"/>
      <c r="E2" s="2563">
        <v>1</v>
      </c>
      <c r="F2" s="1279"/>
      <c r="G2" s="1279"/>
      <c r="H2" s="1279"/>
      <c r="I2" s="1279"/>
      <c r="J2" s="1279"/>
      <c r="K2" s="1279"/>
      <c r="L2" s="1280"/>
      <c r="M2" s="1281"/>
      <c r="N2" s="1281"/>
      <c r="O2" s="1281"/>
      <c r="P2" s="1325"/>
      <c r="Q2" s="799"/>
      <c r="R2" s="291"/>
      <c r="S2" s="1409" t="e">
        <f>INDEX(PT_DIFFERENTIATION_NUM_NTAR,MATCH(A2,PT_DIFFERENTIATION_NTAR_ID,0))</f>
        <v>#N/A</v>
      </c>
      <c r="T2" s="235" t="s">
        <v>124</v>
      </c>
      <c r="U2" s="237"/>
      <c r="V2" s="2558"/>
      <c r="W2" s="2558"/>
      <c r="X2" s="2558"/>
      <c r="Y2" s="2558"/>
      <c r="Z2" s="2558"/>
      <c r="AA2" s="2558"/>
      <c r="AB2" s="2558"/>
      <c r="AC2" s="2559"/>
      <c r="AD2" s="2557" t="e">
        <f>INDEX(PT_DIFFERENTIATION_NTAR,MATCH(A2,PT_DIFFERENTIATION_NTAR_ID,0))</f>
        <v>#N/A</v>
      </c>
      <c r="AE2" s="2558"/>
      <c r="AF2" s="2558"/>
      <c r="AG2" s="2558"/>
      <c r="AH2" s="2558"/>
      <c r="AI2" s="2558"/>
      <c r="AJ2" s="2558"/>
      <c r="AK2" s="2558"/>
      <c r="AL2" s="2558"/>
      <c r="AM2" s="2558"/>
      <c r="AN2" s="2558"/>
      <c r="AO2" s="2558"/>
      <c r="AP2" s="2558"/>
      <c r="AQ2" s="2558"/>
      <c r="AR2" s="2558"/>
      <c r="AS2" s="2558"/>
      <c r="AT2" s="2558"/>
      <c r="AU2" s="2558"/>
      <c r="AV2" s="2558"/>
      <c r="AW2" s="2558"/>
      <c r="AX2" s="2558"/>
      <c r="AY2" s="2558"/>
      <c r="AZ2" s="2558"/>
      <c r="BA2" s="2558"/>
      <c r="BB2" s="2559"/>
      <c r="BC2"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1">
        <v>0</v>
      </c>
    </row>
    <row r="3" spans="1:61" ht="21" hidden="1" customHeight="1">
      <c r="A3" s="1279"/>
      <c r="B3" s="1279"/>
      <c r="C3" s="1279"/>
      <c r="D3" s="1279"/>
      <c r="E3" s="2564"/>
      <c r="F3" s="2563">
        <v>1</v>
      </c>
      <c r="G3" s="1279"/>
      <c r="H3" s="1279"/>
      <c r="I3" s="1279"/>
      <c r="J3" s="1279"/>
      <c r="K3" s="1279"/>
      <c r="L3" s="1280"/>
      <c r="M3" s="1281"/>
      <c r="N3" s="1281"/>
      <c r="O3" s="1281"/>
      <c r="P3" s="1326"/>
      <c r="Q3" s="1327"/>
      <c r="R3" s="289"/>
      <c r="S3" s="1409" t="e">
        <f>INDEX(PT_DIFFERENTIATION_NUM_TER,MATCH(B3,PT_DIFFERENTIATION_TER_ID,0))</f>
        <v>#N/A</v>
      </c>
      <c r="T3" s="245" t="s">
        <v>396</v>
      </c>
      <c r="U3" s="237"/>
      <c r="V3" s="2558"/>
      <c r="W3" s="2558"/>
      <c r="X3" s="2558"/>
      <c r="Y3" s="2558"/>
      <c r="Z3" s="2558"/>
      <c r="AA3" s="2558"/>
      <c r="AB3" s="2558"/>
      <c r="AC3" s="2559"/>
      <c r="AD3" s="2557" t="e">
        <f>INDEX(PT_DIFFERENTIATION_TER,MATCH(B3,PT_DIFFERENTIATION_TER_ID,0))</f>
        <v>#N/A</v>
      </c>
      <c r="AE3" s="2558"/>
      <c r="AF3" s="2558"/>
      <c r="AG3" s="2558"/>
      <c r="AH3" s="2558"/>
      <c r="AI3" s="2558"/>
      <c r="AJ3" s="2558"/>
      <c r="AK3" s="2558"/>
      <c r="AL3" s="2558"/>
      <c r="AM3" s="2558"/>
      <c r="AN3" s="2558"/>
      <c r="AO3" s="2558"/>
      <c r="AP3" s="2558"/>
      <c r="AQ3" s="2558"/>
      <c r="AR3" s="2558"/>
      <c r="AS3" s="2558"/>
      <c r="AT3" s="2558"/>
      <c r="AU3" s="2558"/>
      <c r="AV3" s="2558"/>
      <c r="AW3" s="2558"/>
      <c r="AX3" s="2558"/>
      <c r="AY3" s="2558"/>
      <c r="AZ3" s="2558"/>
      <c r="BA3" s="2558"/>
      <c r="BB3" s="2559"/>
      <c r="BC3" s="1174" t="s">
        <v>397</v>
      </c>
      <c r="BE3" s="436"/>
      <c r="BF3" s="436" t="str">
        <f t="shared" si="0"/>
        <v>Территория действия тарифа</v>
      </c>
      <c r="BG3" s="436"/>
      <c r="BH3" s="436"/>
      <c r="BI3" s="1071">
        <v>0</v>
      </c>
    </row>
    <row r="4" spans="1:61" ht="33.75" hidden="1" customHeight="1">
      <c r="A4" s="1279"/>
      <c r="B4" s="1279"/>
      <c r="C4" s="1279"/>
      <c r="D4" s="1279"/>
      <c r="E4" s="2564"/>
      <c r="F4" s="2564"/>
      <c r="G4" s="2563">
        <v>1</v>
      </c>
      <c r="H4" s="1279"/>
      <c r="I4" s="1279"/>
      <c r="J4" s="1279"/>
      <c r="K4" s="1279"/>
      <c r="L4" s="1280"/>
      <c r="M4" s="1281"/>
      <c r="N4" s="1281"/>
      <c r="O4" s="1281"/>
      <c r="P4" s="1328"/>
      <c r="Q4" s="1327"/>
      <c r="R4" s="289"/>
      <c r="S4" s="1409" t="e">
        <f>INDEX(PT_DIFFERENTIATION_NUM_CS,MATCH(C4,PT_DIFFERENTIATION_CS_ID,0))</f>
        <v>#N/A</v>
      </c>
      <c r="T4" s="246" t="s">
        <v>529</v>
      </c>
      <c r="U4" s="237"/>
      <c r="V4" s="2558"/>
      <c r="W4" s="2558"/>
      <c r="X4" s="2558"/>
      <c r="Y4" s="2558"/>
      <c r="Z4" s="2558"/>
      <c r="AA4" s="2558"/>
      <c r="AB4" s="2558"/>
      <c r="AC4" s="2559"/>
      <c r="AD4" s="2557" t="e">
        <f>INDEX(PT_DIFFERENTIATION_CS,MATCH(C4,PT_DIFFERENTIATION_CS_ID,0))</f>
        <v>#N/A</v>
      </c>
      <c r="AE4" s="2558"/>
      <c r="AF4" s="2558"/>
      <c r="AG4" s="2558"/>
      <c r="AH4" s="2558"/>
      <c r="AI4" s="2558"/>
      <c r="AJ4" s="2558"/>
      <c r="AK4" s="2558"/>
      <c r="AL4" s="2558"/>
      <c r="AM4" s="2558"/>
      <c r="AN4" s="2558"/>
      <c r="AO4" s="2558"/>
      <c r="AP4" s="2558"/>
      <c r="AQ4" s="2558"/>
      <c r="AR4" s="2558"/>
      <c r="AS4" s="2558"/>
      <c r="AT4" s="2558"/>
      <c r="AU4" s="2558"/>
      <c r="AV4" s="2558"/>
      <c r="AW4" s="2558"/>
      <c r="AX4" s="2558"/>
      <c r="AY4" s="2558"/>
      <c r="AZ4" s="2558"/>
      <c r="BA4" s="2558"/>
      <c r="BB4" s="2559"/>
      <c r="BC4" s="1174" t="s">
        <v>530</v>
      </c>
      <c r="BE4" s="436"/>
      <c r="BF4" s="436" t="str">
        <f t="shared" si="0"/>
        <v>Наименование централизованной системы горячего водоснабжения</v>
      </c>
      <c r="BG4" s="436"/>
      <c r="BH4" s="436"/>
      <c r="BI4" s="1071">
        <v>0</v>
      </c>
    </row>
    <row r="5" spans="1:61" s="2344" customFormat="1" ht="14.25" hidden="1" customHeight="1">
      <c r="A5" s="1259"/>
      <c r="B5" s="1259"/>
      <c r="C5" s="1259"/>
      <c r="D5" s="1259"/>
      <c r="E5" s="2564"/>
      <c r="F5" s="2564"/>
      <c r="G5" s="2564"/>
      <c r="H5" s="2563">
        <v>1</v>
      </c>
      <c r="I5" s="1259"/>
      <c r="J5" s="1259"/>
      <c r="K5" s="1259"/>
      <c r="L5" s="1262"/>
      <c r="M5" s="1231"/>
      <c r="N5" s="1231"/>
      <c r="O5" s="1231"/>
      <c r="P5" s="1413"/>
      <c r="Q5" s="1414"/>
      <c r="R5" s="293"/>
      <c r="S5" s="964"/>
      <c r="T5" s="1415"/>
      <c r="U5" s="1300"/>
      <c r="V5" s="2595"/>
      <c r="W5" s="2595"/>
      <c r="X5" s="2595"/>
      <c r="Y5" s="2595"/>
      <c r="Z5" s="2595"/>
      <c r="AA5" s="2595"/>
      <c r="AB5" s="2595"/>
      <c r="AC5" s="2596"/>
      <c r="AD5" s="2594"/>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6"/>
      <c r="BC5" s="1301" t="s">
        <v>401</v>
      </c>
      <c r="BE5" s="436"/>
      <c r="BF5" s="436" t="str">
        <f t="shared" si="0"/>
        <v/>
      </c>
      <c r="BG5" s="436"/>
      <c r="BH5" s="436"/>
      <c r="BI5" s="447">
        <v>0</v>
      </c>
    </row>
    <row r="6" spans="1:61" s="2344" customFormat="1" ht="14.25" hidden="1" customHeight="1">
      <c r="A6" s="1259"/>
      <c r="B6" s="1259"/>
      <c r="C6" s="1259"/>
      <c r="D6" s="1259"/>
      <c r="E6" s="2564"/>
      <c r="F6" s="2564"/>
      <c r="G6" s="2564"/>
      <c r="H6" s="2564"/>
      <c r="I6" s="2565" t="str">
        <f>S5&amp;".1"</f>
        <v>.1</v>
      </c>
      <c r="J6" s="1259"/>
      <c r="K6" s="1259"/>
      <c r="L6" s="1262" t="s">
        <v>402</v>
      </c>
      <c r="M6" s="446"/>
      <c r="N6" s="446"/>
      <c r="O6" s="446"/>
      <c r="P6" s="2567">
        <v>1</v>
      </c>
      <c r="Q6" s="1397"/>
      <c r="R6" s="292"/>
      <c r="S6" s="964"/>
      <c r="T6" s="1299"/>
      <c r="U6" s="1300"/>
      <c r="V6" s="2595"/>
      <c r="W6" s="2595"/>
      <c r="X6" s="2595"/>
      <c r="Y6" s="2595"/>
      <c r="Z6" s="2595"/>
      <c r="AA6" s="2595"/>
      <c r="AB6" s="2595"/>
      <c r="AC6" s="2596"/>
      <c r="AD6" s="2594"/>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6"/>
      <c r="BC6" s="1301"/>
      <c r="BE6" s="436"/>
      <c r="BF6" s="436" t="str">
        <f t="shared" si="0"/>
        <v/>
      </c>
      <c r="BG6" s="436"/>
      <c r="BH6" s="436"/>
      <c r="BI6" s="447">
        <v>0</v>
      </c>
    </row>
    <row r="7" spans="1:61" s="2344" customFormat="1" ht="14.25" hidden="1" customHeight="1">
      <c r="A7" s="1259"/>
      <c r="B7" s="1259"/>
      <c r="C7" s="1259"/>
      <c r="D7" s="1259"/>
      <c r="E7" s="2564"/>
      <c r="F7" s="2564"/>
      <c r="G7" s="2564"/>
      <c r="H7" s="2564"/>
      <c r="I7" s="2566"/>
      <c r="J7" s="2565" t="str">
        <f>S5&amp;".1"</f>
        <v>.1</v>
      </c>
      <c r="K7" s="1259"/>
      <c r="L7" s="1262"/>
      <c r="M7" s="446"/>
      <c r="N7" s="446"/>
      <c r="O7" s="446"/>
      <c r="P7" s="2567"/>
      <c r="Q7" s="2567">
        <v>1</v>
      </c>
      <c r="R7" s="293"/>
      <c r="S7" s="964"/>
      <c r="T7" s="1315"/>
      <c r="U7" s="1300"/>
      <c r="V7" s="2595"/>
      <c r="W7" s="2595"/>
      <c r="X7" s="2595"/>
      <c r="Y7" s="2595"/>
      <c r="Z7" s="2595"/>
      <c r="AA7" s="2595"/>
      <c r="AB7" s="2595"/>
      <c r="AC7" s="2596"/>
      <c r="AD7" s="2594"/>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6"/>
      <c r="BC7" s="1301"/>
      <c r="BE7" s="436"/>
      <c r="BF7" s="436" t="str">
        <f t="shared" si="0"/>
        <v/>
      </c>
      <c r="BG7" s="436"/>
      <c r="BH7" s="436"/>
      <c r="BI7" s="447">
        <v>0</v>
      </c>
    </row>
    <row r="8" spans="1:61" ht="11.25" hidden="1" customHeight="1">
      <c r="A8" s="1279"/>
      <c r="B8" s="1279"/>
      <c r="C8" s="1279"/>
      <c r="D8" s="1279"/>
      <c r="E8" s="2564"/>
      <c r="F8" s="2564"/>
      <c r="G8" s="2564"/>
      <c r="H8" s="2564"/>
      <c r="I8" s="2566"/>
      <c r="J8" s="2566"/>
      <c r="K8" s="2565" t="e">
        <f>S4&amp;".1"</f>
        <v>#N/A</v>
      </c>
      <c r="L8" s="1280"/>
      <c r="P8" s="2567"/>
      <c r="Q8" s="2567"/>
      <c r="R8" s="2623">
        <v>1</v>
      </c>
      <c r="S8" s="2620" t="e">
        <f>$K8</f>
        <v>#N/A</v>
      </c>
      <c r="T8" s="2640"/>
      <c r="U8" s="237"/>
      <c r="V8" s="687"/>
      <c r="W8" s="1173"/>
      <c r="X8" s="687"/>
      <c r="Y8" s="1173"/>
      <c r="Z8" s="1649"/>
      <c r="AA8" s="1385" t="s">
        <v>62</v>
      </c>
      <c r="AB8" s="1649"/>
      <c r="AC8" s="1385" t="s">
        <v>62</v>
      </c>
      <c r="AD8" s="2507" t="s">
        <v>62</v>
      </c>
      <c r="AE8" s="2616"/>
      <c r="AF8" s="2520">
        <v>1</v>
      </c>
      <c r="AG8" s="2639"/>
      <c r="AH8" s="2445" t="s">
        <v>62</v>
      </c>
      <c r="AI8" s="2616"/>
      <c r="AJ8" s="2520">
        <v>1</v>
      </c>
      <c r="AK8" s="2630" t="s">
        <v>22</v>
      </c>
      <c r="AL8" s="2445" t="s">
        <v>62</v>
      </c>
      <c r="AM8" s="2495"/>
      <c r="AN8" s="2520">
        <v>1</v>
      </c>
      <c r="AO8" s="2643"/>
      <c r="AP8" s="2644" t="s">
        <v>62</v>
      </c>
      <c r="AQ8" s="248"/>
      <c r="AR8" s="1402">
        <v>1</v>
      </c>
      <c r="AS8" s="1408" t="s">
        <v>22</v>
      </c>
      <c r="AT8" s="687"/>
      <c r="AU8" s="1173"/>
      <c r="AV8" s="687"/>
      <c r="AW8" s="1173"/>
      <c r="AX8" s="1649"/>
      <c r="AY8" s="1385" t="s">
        <v>62</v>
      </c>
      <c r="AZ8" s="1649"/>
      <c r="BA8" s="1385" t="s">
        <v>62</v>
      </c>
      <c r="BB8" s="1264"/>
      <c r="BC8" s="2586" t="s">
        <v>500</v>
      </c>
      <c r="BE8" s="436"/>
      <c r="BF8" s="436" t="str">
        <f t="shared" si="0"/>
        <v/>
      </c>
      <c r="BG8" s="436"/>
      <c r="BH8" s="436"/>
      <c r="BI8" s="1071">
        <v>0</v>
      </c>
    </row>
    <row r="9" spans="1:61" ht="11.25" hidden="1" customHeight="1">
      <c r="A9" s="1279"/>
      <c r="B9" s="1279"/>
      <c r="C9" s="1279"/>
      <c r="D9" s="1279"/>
      <c r="E9" s="2564"/>
      <c r="F9" s="2564"/>
      <c r="G9" s="2564"/>
      <c r="H9" s="2564"/>
      <c r="I9" s="2566"/>
      <c r="J9" s="2566"/>
      <c r="K9" s="2565"/>
      <c r="L9" s="1280"/>
      <c r="P9" s="2567"/>
      <c r="Q9" s="2567"/>
      <c r="R9" s="2623"/>
      <c r="S9" s="2621"/>
      <c r="T9" s="2641"/>
      <c r="U9" s="237"/>
      <c r="V9" s="1309"/>
      <c r="W9" s="1412"/>
      <c r="X9" s="1309"/>
      <c r="Y9" s="1412"/>
      <c r="Z9" s="1309"/>
      <c r="AA9" s="1309"/>
      <c r="AB9" s="1309"/>
      <c r="AC9" s="1309"/>
      <c r="AD9" s="2508"/>
      <c r="AE9" s="2616"/>
      <c r="AF9" s="2520"/>
      <c r="AG9" s="2639"/>
      <c r="AH9" s="2445"/>
      <c r="AI9" s="2616"/>
      <c r="AJ9" s="2520"/>
      <c r="AK9" s="2630"/>
      <c r="AL9" s="2445"/>
      <c r="AM9" s="2500"/>
      <c r="AN9" s="2520"/>
      <c r="AO9" s="2643"/>
      <c r="AP9" s="2645"/>
      <c r="AQ9" s="253"/>
      <c r="AR9" s="352"/>
      <c r="AS9" s="352" t="s">
        <v>501</v>
      </c>
      <c r="AT9" s="1309"/>
      <c r="AU9" s="1412"/>
      <c r="AV9" s="1309"/>
      <c r="AW9" s="1412"/>
      <c r="AX9" s="1309"/>
      <c r="AY9" s="1309"/>
      <c r="AZ9" s="1309"/>
      <c r="BA9" s="1309"/>
      <c r="BB9" s="1313"/>
      <c r="BC9" s="2587"/>
      <c r="BE9" s="436"/>
      <c r="BF9" s="436"/>
      <c r="BG9" s="436"/>
      <c r="BH9" s="436"/>
      <c r="BI9" s="1071">
        <v>0</v>
      </c>
    </row>
    <row r="10" spans="1:61" ht="11.25" hidden="1" customHeight="1">
      <c r="A10" s="1279"/>
      <c r="B10" s="1279"/>
      <c r="C10" s="1279"/>
      <c r="D10" s="1279"/>
      <c r="E10" s="2564"/>
      <c r="F10" s="2564"/>
      <c r="G10" s="2564"/>
      <c r="H10" s="2564"/>
      <c r="I10" s="2566"/>
      <c r="J10" s="2566"/>
      <c r="K10" s="2565"/>
      <c r="L10" s="1280"/>
      <c r="P10" s="2567"/>
      <c r="Q10" s="2567"/>
      <c r="R10" s="2623"/>
      <c r="S10" s="2621"/>
      <c r="T10" s="2641"/>
      <c r="U10" s="237"/>
      <c r="V10" s="1309"/>
      <c r="W10" s="1412"/>
      <c r="X10" s="1309"/>
      <c r="Y10" s="1412"/>
      <c r="Z10" s="1309"/>
      <c r="AA10" s="1309"/>
      <c r="AB10" s="1309"/>
      <c r="AC10" s="1309"/>
      <c r="AD10" s="2508"/>
      <c r="AE10" s="2616"/>
      <c r="AF10" s="2520"/>
      <c r="AG10" s="2639"/>
      <c r="AH10" s="2445"/>
      <c r="AI10" s="2616"/>
      <c r="AJ10" s="2520"/>
      <c r="AK10" s="2630"/>
      <c r="AL10" s="2445"/>
      <c r="AM10" s="253"/>
      <c r="AN10" s="1416"/>
      <c r="AO10" s="1416" t="s">
        <v>502</v>
      </c>
      <c r="AP10" s="352"/>
      <c r="AQ10" s="352"/>
      <c r="AR10" s="352"/>
      <c r="AS10" s="1309"/>
      <c r="AT10" s="1309"/>
      <c r="AU10" s="1412"/>
      <c r="AV10" s="1309"/>
      <c r="AW10" s="1412"/>
      <c r="AX10" s="1309"/>
      <c r="AY10" s="1309"/>
      <c r="AZ10" s="1309"/>
      <c r="BA10" s="1309"/>
      <c r="BB10" s="1313"/>
      <c r="BC10" s="2587"/>
      <c r="BE10" s="436"/>
      <c r="BF10" s="436"/>
      <c r="BG10" s="436"/>
      <c r="BH10" s="436"/>
      <c r="BI10" s="1071">
        <v>0</v>
      </c>
    </row>
    <row r="11" spans="1:61" ht="11.25" hidden="1" customHeight="1">
      <c r="A11" s="1279"/>
      <c r="B11" s="1279"/>
      <c r="C11" s="1279"/>
      <c r="D11" s="1279"/>
      <c r="E11" s="2564"/>
      <c r="F11" s="2564"/>
      <c r="G11" s="2564"/>
      <c r="H11" s="2564"/>
      <c r="I11" s="2566"/>
      <c r="J11" s="2566"/>
      <c r="K11" s="2565"/>
      <c r="L11" s="1280"/>
      <c r="P11" s="2567"/>
      <c r="Q11" s="2567"/>
      <c r="R11" s="2623"/>
      <c r="S11" s="2621"/>
      <c r="T11" s="2641"/>
      <c r="U11" s="237"/>
      <c r="V11" s="1309"/>
      <c r="W11" s="1412"/>
      <c r="X11" s="1309"/>
      <c r="Y11" s="1412"/>
      <c r="Z11" s="1309"/>
      <c r="AA11" s="1309"/>
      <c r="AB11" s="1309"/>
      <c r="AC11" s="1309"/>
      <c r="AD11" s="2508"/>
      <c r="AE11" s="2616"/>
      <c r="AF11" s="2520"/>
      <c r="AG11" s="2639"/>
      <c r="AH11" s="2445"/>
      <c r="AI11" s="231"/>
      <c r="AJ11" s="351"/>
      <c r="AK11" s="250" t="s">
        <v>503</v>
      </c>
      <c r="AL11" s="1309"/>
      <c r="AM11" s="1309"/>
      <c r="AN11" s="1309"/>
      <c r="AO11" s="1309"/>
      <c r="AP11" s="1309"/>
      <c r="AQ11" s="1309"/>
      <c r="AR11" s="1309"/>
      <c r="AS11" s="1309"/>
      <c r="AT11" s="1309"/>
      <c r="AU11" s="1412"/>
      <c r="AV11" s="1309"/>
      <c r="AW11" s="1412"/>
      <c r="AX11" s="1309"/>
      <c r="AY11" s="1309"/>
      <c r="AZ11" s="1309"/>
      <c r="BA11" s="1309"/>
      <c r="BB11" s="1313"/>
      <c r="BC11" s="2587"/>
      <c r="BE11" s="436"/>
      <c r="BF11" s="436"/>
      <c r="BG11" s="436"/>
      <c r="BH11" s="436"/>
      <c r="BI11" s="1071">
        <v>0</v>
      </c>
    </row>
    <row r="12" spans="1:61" ht="11.25" hidden="1" customHeight="1">
      <c r="A12" s="1279"/>
      <c r="B12" s="1279"/>
      <c r="C12" s="1279"/>
      <c r="D12" s="1279"/>
      <c r="E12" s="2564"/>
      <c r="F12" s="2564"/>
      <c r="G12" s="2564"/>
      <c r="H12" s="2564"/>
      <c r="I12" s="2566"/>
      <c r="J12" s="2566"/>
      <c r="K12" s="2565"/>
      <c r="L12" s="1280"/>
      <c r="P12" s="2567"/>
      <c r="Q12" s="2567"/>
      <c r="R12" s="2623"/>
      <c r="S12" s="2622"/>
      <c r="T12" s="2642"/>
      <c r="U12" s="237"/>
      <c r="V12" s="1309"/>
      <c r="W12" s="1310" t="str">
        <f>Z8&amp;"-"&amp;AB8</f>
        <v>-</v>
      </c>
      <c r="X12" s="1309"/>
      <c r="Y12" s="1310" t="str">
        <f>AB8&amp;"-"&amp;AD8</f>
        <v>-да</v>
      </c>
      <c r="Z12" s="1309"/>
      <c r="AA12" s="1309"/>
      <c r="AB12" s="1309"/>
      <c r="AC12" s="1309"/>
      <c r="AD12" s="2450"/>
      <c r="AE12" s="249"/>
      <c r="AF12" s="251"/>
      <c r="AG12" s="352" t="s">
        <v>504</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2587"/>
      <c r="BE12" s="436"/>
      <c r="BF12" s="436" t="str">
        <f t="shared" ref="BF12:BF18" si="1">IF(T12="","",T12)</f>
        <v/>
      </c>
      <c r="BG12" s="436"/>
      <c r="BH12" s="436"/>
      <c r="BI12" s="1071">
        <v>0</v>
      </c>
    </row>
    <row r="13" spans="1:61" ht="11.25" hidden="1" customHeight="1">
      <c r="A13" s="1279"/>
      <c r="B13" s="1279"/>
      <c r="C13" s="1279"/>
      <c r="D13" s="1279"/>
      <c r="E13" s="2564"/>
      <c r="F13" s="2564"/>
      <c r="G13" s="2564"/>
      <c r="H13" s="2564"/>
      <c r="I13" s="2566"/>
      <c r="J13" s="2565"/>
      <c r="K13" s="1279"/>
      <c r="L13" s="1280"/>
      <c r="P13" s="2567"/>
      <c r="Q13" s="2567"/>
      <c r="R13" s="292"/>
      <c r="S13" s="1194"/>
      <c r="T13" s="224" t="s">
        <v>467</v>
      </c>
      <c r="U13" s="303"/>
      <c r="V13" s="303"/>
      <c r="W13" s="303"/>
      <c r="X13" s="303"/>
      <c r="Y13" s="303"/>
      <c r="Z13" s="303"/>
      <c r="AA13" s="303"/>
      <c r="AB13" s="303"/>
      <c r="AC13" s="303"/>
      <c r="AD13" s="142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8"/>
      <c r="BE13" s="436"/>
      <c r="BF13" s="436" t="str">
        <f t="shared" si="1"/>
        <v>Добавить строку</v>
      </c>
      <c r="BG13" s="436"/>
      <c r="BH13" s="436"/>
      <c r="BI13" s="1071">
        <v>0</v>
      </c>
    </row>
    <row r="14" spans="1:61" s="2344" customFormat="1" ht="14.25" hidden="1" customHeight="1">
      <c r="A14" s="1259"/>
      <c r="B14" s="1259"/>
      <c r="C14" s="1259"/>
      <c r="D14" s="1259"/>
      <c r="E14" s="2564"/>
      <c r="F14" s="2564"/>
      <c r="G14" s="2564"/>
      <c r="H14" s="2564"/>
      <c r="I14" s="2565"/>
      <c r="J14" s="1259"/>
      <c r="K14" s="1259"/>
      <c r="L14" s="1262"/>
      <c r="M14" s="446"/>
      <c r="N14" s="446"/>
      <c r="O14" s="446"/>
      <c r="P14" s="2567"/>
      <c r="Q14" s="1397"/>
      <c r="R14" s="292"/>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36"/>
      <c r="BF14" s="436" t="str">
        <f t="shared" si="1"/>
        <v/>
      </c>
      <c r="BG14" s="436"/>
      <c r="BH14" s="436"/>
      <c r="BI14" s="447">
        <v>0</v>
      </c>
    </row>
    <row r="15" spans="1:61" s="2344" customFormat="1" ht="14.25" hidden="1" customHeight="1">
      <c r="A15" s="1259"/>
      <c r="B15" s="1259"/>
      <c r="C15" s="1259"/>
      <c r="D15" s="1259"/>
      <c r="E15" s="2564"/>
      <c r="F15" s="2564"/>
      <c r="G15" s="2564"/>
      <c r="H15" s="2563"/>
      <c r="I15" s="1259"/>
      <c r="J15" s="1259"/>
      <c r="K15" s="1259"/>
      <c r="L15" s="1262"/>
      <c r="M15" s="1231"/>
      <c r="N15" s="1231"/>
      <c r="O15" s="454"/>
      <c r="P15" s="316"/>
      <c r="Q15" s="1260"/>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36"/>
      <c r="BF15" s="436" t="str">
        <f t="shared" si="1"/>
        <v/>
      </c>
      <c r="BG15" s="436"/>
      <c r="BH15" s="436"/>
      <c r="BI15" s="447">
        <v>0</v>
      </c>
    </row>
    <row r="16" spans="1:61" s="2344" customFormat="1" ht="14.25" hidden="1" customHeight="1">
      <c r="A16" s="1259"/>
      <c r="B16" s="1259"/>
      <c r="C16" s="1259"/>
      <c r="D16" s="1230"/>
      <c r="E16" s="2564"/>
      <c r="F16" s="2564"/>
      <c r="G16" s="2563"/>
      <c r="H16" s="1230"/>
      <c r="I16" s="1230"/>
      <c r="J16" s="1230"/>
      <c r="K16" s="1230"/>
      <c r="L16" s="1410"/>
      <c r="M16" s="1231"/>
      <c r="N16" s="1231"/>
      <c r="P16" s="1232"/>
      <c r="Q16" s="1233"/>
      <c r="R16" s="1232"/>
      <c r="S16" s="1238"/>
      <c r="T16" s="1241"/>
      <c r="U16" s="1240"/>
      <c r="V16" s="1240"/>
      <c r="W16" s="1240"/>
      <c r="X16" s="1240"/>
      <c r="Y16" s="1240"/>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1240"/>
      <c r="AX16" s="1240"/>
      <c r="AY16" s="1240"/>
      <c r="AZ16" s="1240"/>
      <c r="BA16" s="1240"/>
      <c r="BB16" s="1240"/>
      <c r="BC16" s="1240"/>
      <c r="BE16" s="719"/>
      <c r="BF16" s="719" t="str">
        <f t="shared" si="1"/>
        <v/>
      </c>
      <c r="BG16" s="719"/>
      <c r="BH16" s="719"/>
      <c r="BI16" s="454">
        <v>0</v>
      </c>
    </row>
    <row r="17" spans="1:61" s="2344" customFormat="1" ht="14.25" hidden="1" customHeight="1">
      <c r="A17" s="1259"/>
      <c r="B17" s="1259"/>
      <c r="C17" s="1230"/>
      <c r="D17" s="1230"/>
      <c r="E17" s="2564"/>
      <c r="F17" s="2563"/>
      <c r="G17" s="1230"/>
      <c r="H17" s="1230"/>
      <c r="I17" s="1230"/>
      <c r="J17" s="1230"/>
      <c r="K17" s="1230"/>
      <c r="L17" s="1410"/>
      <c r="M17" s="1237"/>
      <c r="N17" s="1237"/>
      <c r="P17" s="1232"/>
      <c r="Q17" s="1233"/>
      <c r="R17" s="1232"/>
      <c r="S17" s="1238"/>
      <c r="T17" s="1241" t="s">
        <v>414</v>
      </c>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0"/>
      <c r="BC17" s="1240"/>
      <c r="BE17" s="719"/>
      <c r="BF17" s="719" t="str">
        <f t="shared" si="1"/>
        <v>Добавить централизованную систему для дифференциации</v>
      </c>
      <c r="BG17" s="719"/>
      <c r="BH17" s="719"/>
      <c r="BI17" s="454">
        <v>0</v>
      </c>
    </row>
    <row r="18" spans="1:61" s="2344" customFormat="1" ht="14.25" hidden="1" customHeight="1">
      <c r="A18" s="1259"/>
      <c r="B18" s="1259"/>
      <c r="C18" s="1259"/>
      <c r="D18" s="1259"/>
      <c r="E18" s="2563"/>
      <c r="F18" s="1259"/>
      <c r="G18" s="1259"/>
      <c r="H18" s="1259"/>
      <c r="I18" s="1259"/>
      <c r="J18" s="1259"/>
      <c r="K18" s="1259"/>
      <c r="L18" s="1262"/>
      <c r="M18" s="1237"/>
      <c r="N18" s="1237"/>
      <c r="O18" s="454"/>
      <c r="P18" s="316"/>
      <c r="Q18" s="1260"/>
      <c r="R18" s="316"/>
      <c r="S18" s="1238"/>
      <c r="T18" s="1241" t="s">
        <v>415</v>
      </c>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1240"/>
      <c r="AS18" s="1240"/>
      <c r="AT18" s="1240"/>
      <c r="AU18" s="1240"/>
      <c r="AV18" s="1240"/>
      <c r="AW18" s="1240"/>
      <c r="AX18" s="1240"/>
      <c r="AY18" s="1240"/>
      <c r="AZ18" s="1240"/>
      <c r="BA18" s="1240"/>
      <c r="BB18" s="1240"/>
      <c r="BC18" s="1240"/>
      <c r="BE18" s="436"/>
      <c r="BF18" s="436" t="str">
        <f t="shared" si="1"/>
        <v>Добавить территорию для дифференциации</v>
      </c>
      <c r="BG18" s="436"/>
      <c r="BH18" s="436"/>
      <c r="BI18" s="447">
        <v>0</v>
      </c>
    </row>
    <row r="19" spans="1:61" ht="14.25" hidden="1" customHeight="1">
      <c r="AC19" s="264"/>
      <c r="BA19" s="264"/>
      <c r="BI19" s="1071">
        <v>0</v>
      </c>
    </row>
    <row r="20" spans="1:61" ht="14.25" hidden="1" customHeight="1">
      <c r="AD20" s="1240" t="s">
        <v>19</v>
      </c>
      <c r="AE20" s="1417"/>
      <c r="AF20" s="484">
        <v>1</v>
      </c>
      <c r="AG20" s="1418"/>
      <c r="AH20" s="1240" t="s">
        <v>19</v>
      </c>
      <c r="AI20" s="1417"/>
      <c r="AJ20" s="484">
        <v>1</v>
      </c>
      <c r="AK20" s="1418"/>
      <c r="AL20" s="1240" t="s">
        <v>19</v>
      </c>
      <c r="AM20" s="1419"/>
      <c r="AN20" s="484">
        <v>1</v>
      </c>
      <c r="AO20" s="1420"/>
      <c r="AP20" s="1240" t="s">
        <v>19</v>
      </c>
      <c r="AQ20" s="1419"/>
      <c r="AR20" s="484">
        <v>1</v>
      </c>
      <c r="AS20" s="1420"/>
      <c r="AT20" s="262"/>
      <c r="AU20" s="320"/>
      <c r="AV20" s="262"/>
      <c r="AW20" s="320"/>
      <c r="AX20" s="1651"/>
      <c r="AY20" s="1401" t="s">
        <v>62</v>
      </c>
      <c r="AZ20" s="1651"/>
      <c r="BA20" s="1401" t="s">
        <v>62</v>
      </c>
      <c r="BI20" s="1071">
        <v>0</v>
      </c>
    </row>
    <row r="21" spans="1:61" ht="14.25" hidden="1" customHeight="1">
      <c r="BD21" s="432"/>
      <c r="BE21" s="432"/>
      <c r="BF21" s="432"/>
      <c r="BG21" s="432"/>
      <c r="BH21" s="432"/>
      <c r="BI21" s="1071">
        <v>0</v>
      </c>
    </row>
    <row r="22" spans="1:61" ht="14.25" hidden="1" customHeight="1">
      <c r="O22" s="1283" t="s">
        <v>416</v>
      </c>
      <c r="Z22" s="1261"/>
      <c r="AB22" s="1261"/>
      <c r="AC22" s="264"/>
      <c r="AX22" s="1261"/>
      <c r="AZ22" s="1261"/>
      <c r="BA22" s="264"/>
      <c r="BD22" s="432"/>
      <c r="BE22" s="432"/>
      <c r="BF22" s="432"/>
      <c r="BG22" s="432"/>
      <c r="BH22" s="432"/>
      <c r="BI22" s="1071">
        <v>0</v>
      </c>
    </row>
    <row r="23" spans="1:61" ht="14.25" hidden="1" customHeight="1">
      <c r="AC23" s="264"/>
      <c r="BA23" s="264"/>
      <c r="BD23" s="432"/>
      <c r="BE23" s="432"/>
      <c r="BF23" s="432"/>
      <c r="BG23" s="432"/>
      <c r="BH23" s="432"/>
      <c r="BI23" s="1071">
        <v>0</v>
      </c>
    </row>
    <row r="24" spans="1:61" s="2338" customFormat="1" ht="14.25" hidden="1" customHeight="1">
      <c r="M24" s="1424"/>
      <c r="N24" s="1424"/>
      <c r="O24" s="1425" t="s">
        <v>417</v>
      </c>
      <c r="P24" s="1424"/>
      <c r="Q24" s="1426"/>
      <c r="R24" s="1426"/>
      <c r="AA24" s="1423" t="s">
        <v>419</v>
      </c>
      <c r="AC24" s="1423" t="s">
        <v>420</v>
      </c>
      <c r="AD24" s="1423" t="s">
        <v>468</v>
      </c>
      <c r="AH24" s="1423" t="s">
        <v>468</v>
      </c>
      <c r="AK24" s="1423" t="s">
        <v>505</v>
      </c>
      <c r="AL24" s="1423" t="s">
        <v>468</v>
      </c>
      <c r="AP24" s="1423" t="s">
        <v>468</v>
      </c>
      <c r="AY24" s="1423" t="s">
        <v>419</v>
      </c>
      <c r="BA24" s="1423" t="s">
        <v>420</v>
      </c>
      <c r="BD24" s="1427"/>
      <c r="BE24" s="1427"/>
      <c r="BF24" s="1427"/>
      <c r="BG24" s="1427"/>
      <c r="BH24" s="1427"/>
      <c r="BI24" s="1423">
        <v>0</v>
      </c>
    </row>
    <row r="25" spans="1:61" ht="14.25" hidden="1" customHeight="1">
      <c r="O25" s="1280"/>
      <c r="BD25" s="432"/>
      <c r="BE25" s="432"/>
      <c r="BF25" s="432"/>
      <c r="BG25" s="432"/>
      <c r="BH25" s="432"/>
      <c r="BI25" s="1071">
        <v>0</v>
      </c>
    </row>
    <row r="26" spans="1:61" ht="14.25" hidden="1" customHeight="1">
      <c r="O26" s="1280"/>
      <c r="BD26" s="432"/>
      <c r="BE26" s="432"/>
      <c r="BF26" s="432"/>
      <c r="BG26" s="432"/>
      <c r="BH26" s="432"/>
      <c r="BI26" s="1071">
        <v>0</v>
      </c>
    </row>
    <row r="27" spans="1:61" ht="14.65" customHeight="1">
      <c r="Q27" s="228"/>
      <c r="R27" s="312"/>
      <c r="S27" s="119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1">
        <v>14</v>
      </c>
    </row>
    <row r="28" spans="1:61" ht="14.65" customHeight="1">
      <c r="Q28" s="228"/>
      <c r="R28" s="312"/>
      <c r="S28" s="254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9"/>
      <c r="BI28" s="1071">
        <v>14</v>
      </c>
    </row>
    <row r="29" spans="1:61" ht="14.65" customHeight="1">
      <c r="Q29" s="228"/>
      <c r="R29" s="312"/>
      <c r="S29" s="2516" t="str">
        <f>IF(org=0,"Не определено",org)</f>
        <v>ООО "Пятигорсктеплосервис"</v>
      </c>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c r="AS29" s="2516"/>
      <c r="AT29" s="2516"/>
      <c r="AU29" s="2516"/>
      <c r="AV29" s="2516"/>
      <c r="AW29" s="2516"/>
      <c r="AX29" s="2516"/>
      <c r="AY29" s="2516"/>
      <c r="AZ29" s="2516"/>
      <c r="BA29" s="1159"/>
      <c r="BI29" s="1071">
        <v>14</v>
      </c>
    </row>
    <row r="30" spans="1:61" ht="14.25" hidden="1" customHeight="1">
      <c r="Q30" s="228"/>
      <c r="R30" s="312"/>
      <c r="S30" s="119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1">
        <v>0</v>
      </c>
    </row>
    <row r="31" spans="1:61" s="2380" customFormat="1" ht="25.5" hidden="1" customHeight="1">
      <c r="A31" s="1284"/>
      <c r="B31" s="1284"/>
      <c r="C31" s="1284"/>
      <c r="D31" s="1284"/>
      <c r="E31" s="1284"/>
      <c r="F31" s="1284"/>
      <c r="G31" s="1284"/>
      <c r="H31" s="1284"/>
      <c r="I31" s="1284"/>
      <c r="J31" s="1284"/>
      <c r="K31" s="1284"/>
      <c r="L31" s="1285"/>
      <c r="M31" s="1284"/>
      <c r="N31" s="1284"/>
      <c r="O31" s="1284"/>
      <c r="P31" s="1284"/>
      <c r="Q31" s="1284"/>
      <c r="S31" s="2554" t="s">
        <v>41</v>
      </c>
      <c r="T31" s="2554"/>
      <c r="U31" s="1288"/>
      <c r="V31" s="2556" t="str">
        <f>IF(TITLE_NAME_OR_PR_CHANGE="",IF(TITLE_NAME_OR_PR="","",TITLE_NAME_OR_PR),TITLE_NAME_OR_PR_CHANGE)</f>
        <v/>
      </c>
      <c r="W31" s="2556"/>
      <c r="X31" s="2556"/>
      <c r="Y31" s="2556"/>
      <c r="Z31" s="2556"/>
      <c r="AA31" s="2556"/>
      <c r="AB31" s="2556"/>
      <c r="AC31" s="263"/>
      <c r="AD31" s="2556" t="str">
        <f>IF(TITLE_NAME_OR_PR_CHANGE="",IF(TITLE_NAME_OR_PR="","",TITLE_NAME_OR_PR),TITLE_NAME_OR_PR_CHANGE)</f>
        <v/>
      </c>
      <c r="AE31" s="2556"/>
      <c r="AF31" s="2556"/>
      <c r="AG31" s="2556"/>
      <c r="AH31" s="2556"/>
      <c r="AI31" s="2556"/>
      <c r="AJ31" s="2556"/>
      <c r="AK31" s="2556"/>
      <c r="AL31" s="2556"/>
      <c r="AM31" s="2556"/>
      <c r="AN31" s="2556"/>
      <c r="AO31" s="2556"/>
      <c r="AP31" s="2556"/>
      <c r="AQ31" s="2556"/>
      <c r="AR31" s="2556"/>
      <c r="AS31" s="2556"/>
      <c r="AT31" s="2556"/>
      <c r="AU31" s="2556"/>
      <c r="AV31" s="2556"/>
      <c r="AW31" s="2556"/>
      <c r="AX31" s="2556"/>
      <c r="AY31" s="2556"/>
      <c r="AZ31" s="2556"/>
      <c r="BA31" s="263"/>
      <c r="BB31" s="263"/>
      <c r="BC31" s="217"/>
      <c r="BD31" s="304"/>
      <c r="BE31" s="304"/>
      <c r="BF31" s="304"/>
      <c r="BG31" s="304"/>
      <c r="BH31" s="304"/>
      <c r="BI31" s="354">
        <v>0</v>
      </c>
    </row>
    <row r="32" spans="1:61" s="2380" customFormat="1" ht="18.75" hidden="1" customHeight="1">
      <c r="A32" s="1284"/>
      <c r="B32" s="1284"/>
      <c r="C32" s="1284"/>
      <c r="D32" s="1284"/>
      <c r="E32" s="1284"/>
      <c r="F32" s="1284"/>
      <c r="G32" s="1284"/>
      <c r="H32" s="1284"/>
      <c r="I32" s="1284"/>
      <c r="J32" s="1284"/>
      <c r="K32" s="1284"/>
      <c r="L32" s="1285"/>
      <c r="M32" s="1284"/>
      <c r="N32" s="1284"/>
      <c r="O32" s="1284"/>
      <c r="P32" s="1284"/>
      <c r="Q32" s="1284"/>
      <c r="S32" s="2554" t="s">
        <v>422</v>
      </c>
      <c r="T32" s="2554"/>
      <c r="U32" s="1288"/>
      <c r="V32" s="2555" t="str">
        <f>IF(TITLE_DATE_PR_CHANGE="",IF(TITLE_DATE_PR="","",TITLE_DATE_PR),TITLE_DATE_PR_CHANGE)</f>
        <v/>
      </c>
      <c r="W32" s="2555"/>
      <c r="X32" s="2555"/>
      <c r="Y32" s="2555"/>
      <c r="Z32" s="2555"/>
      <c r="AA32" s="2555"/>
      <c r="AB32" s="2555"/>
      <c r="AC32" s="263"/>
      <c r="AD32" s="2555" t="str">
        <f>IF(TITLE_DATE_PR_CHANGE="",IF(TITLE_DATE_PR="","",TITLE_DATE_PR),TITLE_DATE_PR_CHANGE)</f>
        <v/>
      </c>
      <c r="AE32" s="2555"/>
      <c r="AF32" s="2555"/>
      <c r="AG32" s="2555"/>
      <c r="AH32" s="2555"/>
      <c r="AI32" s="2555"/>
      <c r="AJ32" s="2555"/>
      <c r="AK32" s="2555"/>
      <c r="AL32" s="2555"/>
      <c r="AM32" s="2555"/>
      <c r="AN32" s="2555"/>
      <c r="AO32" s="2555"/>
      <c r="AP32" s="2555"/>
      <c r="AQ32" s="2555"/>
      <c r="AR32" s="2555"/>
      <c r="AS32" s="2555"/>
      <c r="AT32" s="2555"/>
      <c r="AU32" s="2555"/>
      <c r="AV32" s="2555"/>
      <c r="AW32" s="2555"/>
      <c r="AX32" s="2555"/>
      <c r="AY32" s="2555"/>
      <c r="AZ32" s="2555"/>
      <c r="BA32" s="263"/>
      <c r="BB32" s="263"/>
      <c r="BC32" s="217"/>
      <c r="BD32" s="304"/>
      <c r="BE32" s="304"/>
      <c r="BF32" s="304"/>
      <c r="BG32" s="304"/>
      <c r="BH32" s="304"/>
      <c r="BI32" s="354">
        <v>0</v>
      </c>
    </row>
    <row r="33" spans="1:61" s="2380" customFormat="1" ht="18.75" hidden="1" customHeight="1">
      <c r="A33" s="1284"/>
      <c r="B33" s="1284"/>
      <c r="C33" s="1284"/>
      <c r="D33" s="1284"/>
      <c r="E33" s="1284"/>
      <c r="F33" s="1284"/>
      <c r="G33" s="1284"/>
      <c r="H33" s="1284"/>
      <c r="I33" s="1284"/>
      <c r="J33" s="1284"/>
      <c r="K33" s="1284"/>
      <c r="L33" s="1285"/>
      <c r="M33" s="1284"/>
      <c r="N33" s="1284"/>
      <c r="O33" s="1284"/>
      <c r="P33" s="1284"/>
      <c r="Q33" s="1284"/>
      <c r="S33" s="2554" t="s">
        <v>423</v>
      </c>
      <c r="T33" s="2554"/>
      <c r="U33" s="1288"/>
      <c r="V33" s="2556" t="str">
        <f>IF(TITLE_NUMBER_PR_CHANGE="",IF(TITLE_NUMBER_PR="","",TITLE_NUMBER_PR),TITLE_NUMBER_PR_CHANGE)</f>
        <v/>
      </c>
      <c r="W33" s="2556"/>
      <c r="X33" s="2556"/>
      <c r="Y33" s="2556"/>
      <c r="Z33" s="2556"/>
      <c r="AA33" s="2556"/>
      <c r="AB33" s="2556"/>
      <c r="AC33" s="263"/>
      <c r="AD33" s="2556" t="str">
        <f>IF(TITLE_NUMBER_PR_CHANGE="",IF(TITLE_NUMBER_PR="","",TITLE_NUMBER_PR),TITLE_NUMBER_PR_CHANGE)</f>
        <v/>
      </c>
      <c r="AE33" s="2556"/>
      <c r="AF33" s="2556"/>
      <c r="AG33" s="2556"/>
      <c r="AH33" s="2556"/>
      <c r="AI33" s="2556"/>
      <c r="AJ33" s="2556"/>
      <c r="AK33" s="2556"/>
      <c r="AL33" s="2556"/>
      <c r="AM33" s="2556"/>
      <c r="AN33" s="2556"/>
      <c r="AO33" s="2556"/>
      <c r="AP33" s="2556"/>
      <c r="AQ33" s="2556"/>
      <c r="AR33" s="2556"/>
      <c r="AS33" s="2556"/>
      <c r="AT33" s="2556"/>
      <c r="AU33" s="2556"/>
      <c r="AV33" s="2556"/>
      <c r="AW33" s="2556"/>
      <c r="AX33" s="2556"/>
      <c r="AY33" s="2556"/>
      <c r="AZ33" s="2556"/>
      <c r="BA33" s="263"/>
      <c r="BB33" s="263"/>
      <c r="BC33" s="217"/>
      <c r="BD33" s="304"/>
      <c r="BE33" s="304"/>
      <c r="BF33" s="304"/>
      <c r="BG33" s="304"/>
      <c r="BH33" s="304"/>
      <c r="BI33" s="354">
        <v>0</v>
      </c>
    </row>
    <row r="34" spans="1:61" s="2380" customFormat="1" ht="18.75" hidden="1" customHeight="1">
      <c r="A34" s="1284"/>
      <c r="B34" s="1284"/>
      <c r="C34" s="1284"/>
      <c r="D34" s="1284"/>
      <c r="E34" s="1284"/>
      <c r="F34" s="1284"/>
      <c r="G34" s="1284"/>
      <c r="H34" s="1284"/>
      <c r="I34" s="1284"/>
      <c r="J34" s="1284"/>
      <c r="K34" s="1284"/>
      <c r="L34" s="1285"/>
      <c r="M34" s="1284"/>
      <c r="N34" s="1284"/>
      <c r="O34" s="1284"/>
      <c r="P34" s="1284"/>
      <c r="Q34" s="1284"/>
      <c r="S34" s="2554" t="s">
        <v>42</v>
      </c>
      <c r="T34" s="2554"/>
      <c r="U34" s="1288"/>
      <c r="V34" s="2556" t="str">
        <f>IF(TITLE_IST_PUB_CHANGE="",IF(TITLE_IST_PUB="","",TITLE_IST_PUB),TITLE_IST_PUB_CHANGE)</f>
        <v/>
      </c>
      <c r="W34" s="2556"/>
      <c r="X34" s="2556"/>
      <c r="Y34" s="2556"/>
      <c r="Z34" s="2556"/>
      <c r="AA34" s="2556"/>
      <c r="AB34" s="2556"/>
      <c r="AC34" s="263"/>
      <c r="AD34" s="2556" t="str">
        <f>IF(TITLE_IST_PUB_CHANGE="",IF(TITLE_IST_PUB="","",TITLE_IST_PUB),TITLE_IST_PUB_CHANGE)</f>
        <v/>
      </c>
      <c r="AE34" s="2556"/>
      <c r="AF34" s="2556"/>
      <c r="AG34" s="2556"/>
      <c r="AH34" s="2556"/>
      <c r="AI34" s="2556"/>
      <c r="AJ34" s="2556"/>
      <c r="AK34" s="2556"/>
      <c r="AL34" s="2556"/>
      <c r="AM34" s="2556"/>
      <c r="AN34" s="2556"/>
      <c r="AO34" s="2556"/>
      <c r="AP34" s="2556"/>
      <c r="AQ34" s="2556"/>
      <c r="AR34" s="2556"/>
      <c r="AS34" s="2556"/>
      <c r="AT34" s="2556"/>
      <c r="AU34" s="2556"/>
      <c r="AV34" s="2556"/>
      <c r="AW34" s="2556"/>
      <c r="AX34" s="2556"/>
      <c r="AY34" s="2556"/>
      <c r="AZ34" s="2556"/>
      <c r="BA34" s="263"/>
      <c r="BB34" s="263"/>
      <c r="BC34" s="217"/>
      <c r="BD34" s="304"/>
      <c r="BE34" s="304"/>
      <c r="BF34" s="304"/>
      <c r="BG34" s="304"/>
      <c r="BH34" s="304"/>
      <c r="BI34" s="354">
        <v>0</v>
      </c>
    </row>
    <row r="35" spans="1:61" ht="14.25" hidden="1" customHeight="1">
      <c r="Q35" s="228"/>
      <c r="R35" s="312"/>
      <c r="S35" s="119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1">
        <v>0</v>
      </c>
    </row>
    <row r="36" spans="1:61" s="2380" customFormat="1" ht="18.75" hidden="1" customHeight="1">
      <c r="A36" s="1284"/>
      <c r="B36" s="1284"/>
      <c r="C36" s="1284"/>
      <c r="D36" s="1284"/>
      <c r="E36" s="1284"/>
      <c r="F36" s="1284"/>
      <c r="G36" s="1284"/>
      <c r="H36" s="1284"/>
      <c r="I36" s="1284"/>
      <c r="J36" s="1284"/>
      <c r="K36" s="1284"/>
      <c r="L36" s="1285"/>
      <c r="M36" s="1284"/>
      <c r="N36" s="1284"/>
      <c r="O36" s="1284"/>
      <c r="P36" s="1284"/>
      <c r="Q36" s="1284"/>
      <c r="S36" s="2554" t="s">
        <v>422</v>
      </c>
      <c r="T36" s="2554"/>
      <c r="U36" s="1288"/>
      <c r="V36" s="2555" t="str">
        <f>IF(TITLE_DATE_PR_CHANGE="",IF(TITLE_DATE_PR="","",TITLE_DATE_PR),TITLE_DATE_PR_CHANGE)</f>
        <v/>
      </c>
      <c r="W36" s="2555"/>
      <c r="X36" s="2555"/>
      <c r="Y36" s="2555"/>
      <c r="Z36" s="2555"/>
      <c r="AA36" s="2555"/>
      <c r="AB36" s="2555"/>
      <c r="AC36" s="263"/>
      <c r="AD36" s="2555" t="str">
        <f>IF(TITLE_DATE_PR_CHANGE="",IF(TITLE_DATE_PR="","",TITLE_DATE_PR),TITLE_DATE_PR_CHANGE)</f>
        <v/>
      </c>
      <c r="AE36" s="2555"/>
      <c r="AF36" s="2555"/>
      <c r="AG36" s="2555"/>
      <c r="AH36" s="2555"/>
      <c r="AI36" s="2555"/>
      <c r="AJ36" s="2555"/>
      <c r="AK36" s="2555"/>
      <c r="AL36" s="2555"/>
      <c r="AM36" s="2555"/>
      <c r="AN36" s="2555"/>
      <c r="AO36" s="2555"/>
      <c r="AP36" s="2555"/>
      <c r="AQ36" s="2555"/>
      <c r="AR36" s="2555"/>
      <c r="AS36" s="2555"/>
      <c r="AT36" s="2555"/>
      <c r="AU36" s="2555"/>
      <c r="AV36" s="2555"/>
      <c r="AW36" s="2555"/>
      <c r="AX36" s="2555"/>
      <c r="AY36" s="2555"/>
      <c r="AZ36" s="2555"/>
      <c r="BA36" s="263"/>
      <c r="BB36" s="263"/>
      <c r="BC36" s="217"/>
      <c r="BD36" s="304"/>
      <c r="BE36" s="304"/>
      <c r="BF36" s="304"/>
      <c r="BG36" s="304"/>
      <c r="BH36" s="304"/>
      <c r="BI36" s="354">
        <v>0</v>
      </c>
    </row>
    <row r="37" spans="1:61" s="2380" customFormat="1" ht="18.75" hidden="1" customHeight="1">
      <c r="A37" s="1284"/>
      <c r="B37" s="1284"/>
      <c r="C37" s="1284"/>
      <c r="D37" s="1284"/>
      <c r="E37" s="1284"/>
      <c r="F37" s="1284"/>
      <c r="G37" s="1284"/>
      <c r="H37" s="1284"/>
      <c r="I37" s="1284"/>
      <c r="J37" s="1284"/>
      <c r="K37" s="1284"/>
      <c r="L37" s="1285"/>
      <c r="M37" s="1284"/>
      <c r="N37" s="1284"/>
      <c r="O37" s="1284"/>
      <c r="P37" s="1284"/>
      <c r="Q37" s="1284"/>
      <c r="S37" s="2554" t="s">
        <v>423</v>
      </c>
      <c r="T37" s="2554"/>
      <c r="U37" s="1288"/>
      <c r="V37" s="2556" t="str">
        <f>IF(TITLE_NUMBER_PR_CHANGE="",IF(TITLE_NUMBER_PR="","",TITLE_NUMBER_PR),TITLE_NUMBER_PR_CHANGE)</f>
        <v/>
      </c>
      <c r="W37" s="2556"/>
      <c r="X37" s="2556"/>
      <c r="Y37" s="2556"/>
      <c r="Z37" s="2556"/>
      <c r="AA37" s="2556"/>
      <c r="AB37" s="2556"/>
      <c r="AC37" s="263"/>
      <c r="AD37" s="2556" t="str">
        <f>IF(TITLE_NUMBER_PR_CHANGE="",IF(TITLE_NUMBER_PR="","",TITLE_NUMBER_PR),TITLE_NUMBER_PR_CHANGE)</f>
        <v/>
      </c>
      <c r="AE37" s="2556"/>
      <c r="AF37" s="2556"/>
      <c r="AG37" s="2556"/>
      <c r="AH37" s="2556"/>
      <c r="AI37" s="2556"/>
      <c r="AJ37" s="2556"/>
      <c r="AK37" s="2556"/>
      <c r="AL37" s="2556"/>
      <c r="AM37" s="2556"/>
      <c r="AN37" s="2556"/>
      <c r="AO37" s="2556"/>
      <c r="AP37" s="2556"/>
      <c r="AQ37" s="2556"/>
      <c r="AR37" s="2556"/>
      <c r="AS37" s="2556"/>
      <c r="AT37" s="2556"/>
      <c r="AU37" s="2556"/>
      <c r="AV37" s="2556"/>
      <c r="AW37" s="2556"/>
      <c r="AX37" s="2556"/>
      <c r="AY37" s="2556"/>
      <c r="AZ37" s="2556"/>
      <c r="BA37" s="263"/>
      <c r="BB37" s="263"/>
      <c r="BC37" s="217"/>
      <c r="BD37" s="304"/>
      <c r="BE37" s="304"/>
      <c r="BF37" s="304"/>
      <c r="BG37" s="304"/>
      <c r="BH37" s="304"/>
      <c r="BI37" s="354">
        <v>0</v>
      </c>
    </row>
    <row r="38" spans="1:61" s="2380" customFormat="1" ht="0" hidden="1" customHeight="1">
      <c r="A38" s="1284"/>
      <c r="B38" s="1284"/>
      <c r="C38" s="1284"/>
      <c r="D38" s="1284"/>
      <c r="E38" s="1284"/>
      <c r="F38" s="1284"/>
      <c r="G38" s="1284"/>
      <c r="H38" s="1284"/>
      <c r="I38" s="1284"/>
      <c r="J38" s="1284"/>
      <c r="K38" s="1284"/>
      <c r="L38" s="1285"/>
      <c r="M38" s="1284"/>
      <c r="N38" s="1284"/>
      <c r="O38" s="1284"/>
      <c r="P38" s="1284"/>
      <c r="Q38" s="1284"/>
      <c r="S38" s="260"/>
      <c r="T38" s="260"/>
      <c r="U38" s="140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1"/>
      <c r="T39" s="299"/>
      <c r="U39" s="1160"/>
      <c r="V39" s="2575"/>
      <c r="W39" s="2575"/>
      <c r="X39" s="2575"/>
      <c r="Y39" s="2575"/>
      <c r="Z39" s="2575"/>
      <c r="AA39" s="2575"/>
      <c r="AB39" s="2575"/>
      <c r="AC39" s="2575"/>
      <c r="AD39" s="2575"/>
      <c r="AE39" s="2575"/>
      <c r="AF39" s="2575"/>
      <c r="AG39" s="2575"/>
      <c r="AH39" s="2575"/>
      <c r="AI39" s="2575"/>
      <c r="AJ39" s="2575"/>
      <c r="AK39" s="2575"/>
      <c r="AL39" s="2575"/>
      <c r="AM39" s="2575"/>
      <c r="AN39" s="2575"/>
      <c r="AO39" s="2575"/>
      <c r="AP39" s="2575"/>
      <c r="AQ39" s="2575"/>
      <c r="AR39" s="2575"/>
      <c r="AS39" s="2575"/>
      <c r="AT39" s="2575"/>
      <c r="AU39" s="2575"/>
      <c r="AV39" s="2575"/>
      <c r="AW39" s="2575"/>
      <c r="AX39" s="2575"/>
      <c r="AY39" s="2575"/>
      <c r="AZ39" s="2575"/>
      <c r="BA39" s="2575"/>
      <c r="BI39" s="1071">
        <v>14</v>
      </c>
    </row>
    <row r="40" spans="1:61" ht="14.65" customHeight="1">
      <c r="Q40" s="228"/>
      <c r="R40" s="312"/>
      <c r="S40" s="2435" t="s">
        <v>299</v>
      </c>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c r="AS40" s="2435"/>
      <c r="AT40" s="2435"/>
      <c r="AU40" s="2435"/>
      <c r="AV40" s="2435"/>
      <c r="AW40" s="2435"/>
      <c r="AX40" s="2435"/>
      <c r="AY40" s="2435"/>
      <c r="AZ40" s="2435"/>
      <c r="BA40" s="2435"/>
      <c r="BB40" s="2435"/>
      <c r="BC40" s="2435" t="s">
        <v>300</v>
      </c>
      <c r="BI40" s="1071">
        <v>14</v>
      </c>
    </row>
    <row r="41" spans="1:61" ht="14.65" customHeight="1">
      <c r="Q41" s="228"/>
      <c r="R41" s="312"/>
      <c r="S41" s="2576" t="s">
        <v>88</v>
      </c>
      <c r="T41" s="2524" t="s">
        <v>506</v>
      </c>
      <c r="U41" s="238"/>
      <c r="V41" s="2577" t="s">
        <v>428</v>
      </c>
      <c r="W41" s="2578"/>
      <c r="X41" s="2578"/>
      <c r="Y41" s="2578"/>
      <c r="Z41" s="2578"/>
      <c r="AA41" s="2578"/>
      <c r="AB41" s="2579"/>
      <c r="AC41" s="2580" t="s">
        <v>429</v>
      </c>
      <c r="AD41" s="2609" t="s">
        <v>507</v>
      </c>
      <c r="AE41" s="2593"/>
      <c r="AF41" s="2593"/>
      <c r="AG41" s="2610"/>
      <c r="AH41" s="2609" t="s">
        <v>508</v>
      </c>
      <c r="AI41" s="2593"/>
      <c r="AJ41" s="2593"/>
      <c r="AK41" s="2610"/>
      <c r="AL41" s="2609" t="s">
        <v>509</v>
      </c>
      <c r="AM41" s="2593"/>
      <c r="AN41" s="2593"/>
      <c r="AO41" s="2610"/>
      <c r="AP41" s="2609" t="s">
        <v>510</v>
      </c>
      <c r="AQ41" s="2593"/>
      <c r="AR41" s="2593"/>
      <c r="AS41" s="2610"/>
      <c r="AT41" s="2577" t="s">
        <v>428</v>
      </c>
      <c r="AU41" s="2578"/>
      <c r="AV41" s="2578"/>
      <c r="AW41" s="2578"/>
      <c r="AX41" s="2578"/>
      <c r="AY41" s="2578"/>
      <c r="AZ41" s="2579"/>
      <c r="BA41" s="2580" t="s">
        <v>429</v>
      </c>
      <c r="BB41" s="2583" t="s">
        <v>431</v>
      </c>
      <c r="BC41" s="2435"/>
      <c r="BI41" s="1071">
        <v>14</v>
      </c>
    </row>
    <row r="42" spans="1:61" ht="35.65" customHeight="1">
      <c r="Q42" s="228"/>
      <c r="R42" s="312"/>
      <c r="S42" s="2576"/>
      <c r="T42" s="2524"/>
      <c r="U42" s="953"/>
      <c r="V42" s="2495" t="s">
        <v>511</v>
      </c>
      <c r="W42" s="2496"/>
      <c r="X42" s="2495" t="s">
        <v>512</v>
      </c>
      <c r="Y42" s="2496"/>
      <c r="Z42" s="2495" t="s">
        <v>513</v>
      </c>
      <c r="AA42" s="2605"/>
      <c r="AB42" s="2496"/>
      <c r="AC42" s="2581"/>
      <c r="AD42" s="2611"/>
      <c r="AE42" s="2612"/>
      <c r="AF42" s="2612"/>
      <c r="AG42" s="2624"/>
      <c r="AH42" s="2611"/>
      <c r="AI42" s="2612"/>
      <c r="AJ42" s="2612"/>
      <c r="AK42" s="2624"/>
      <c r="AL42" s="2611"/>
      <c r="AM42" s="2612"/>
      <c r="AN42" s="2612"/>
      <c r="AO42" s="2624"/>
      <c r="AP42" s="2611"/>
      <c r="AQ42" s="2612"/>
      <c r="AR42" s="2612"/>
      <c r="AS42" s="2624"/>
      <c r="AT42" s="2495" t="s">
        <v>511</v>
      </c>
      <c r="AU42" s="2496"/>
      <c r="AV42" s="2495" t="s">
        <v>512</v>
      </c>
      <c r="AW42" s="2496"/>
      <c r="AX42" s="2495" t="s">
        <v>513</v>
      </c>
      <c r="AY42" s="2605"/>
      <c r="AZ42" s="2496"/>
      <c r="BA42" s="2581"/>
      <c r="BB42" s="2584"/>
      <c r="BC42" s="2435"/>
      <c r="BI42" s="1071">
        <v>34</v>
      </c>
    </row>
    <row r="43" spans="1:61" ht="14.65" customHeight="1">
      <c r="Q43" s="228"/>
      <c r="R43" s="312"/>
      <c r="S43" s="2576"/>
      <c r="T43" s="2524"/>
      <c r="U43" s="953"/>
      <c r="V43" s="2500"/>
      <c r="W43" s="2501"/>
      <c r="X43" s="2500"/>
      <c r="Y43" s="2501"/>
      <c r="Z43" s="2500"/>
      <c r="AA43" s="2606"/>
      <c r="AB43" s="2501"/>
      <c r="AC43" s="2581"/>
      <c r="AD43" s="2611"/>
      <c r="AE43" s="2612"/>
      <c r="AF43" s="2612"/>
      <c r="AG43" s="2624"/>
      <c r="AH43" s="2611"/>
      <c r="AI43" s="2612"/>
      <c r="AJ43" s="2612"/>
      <c r="AK43" s="2624"/>
      <c r="AL43" s="2611"/>
      <c r="AM43" s="2612"/>
      <c r="AN43" s="2612"/>
      <c r="AO43" s="2624"/>
      <c r="AP43" s="2611"/>
      <c r="AQ43" s="2612"/>
      <c r="AR43" s="2612"/>
      <c r="AS43" s="2624"/>
      <c r="AT43" s="2500"/>
      <c r="AU43" s="2501"/>
      <c r="AV43" s="2500"/>
      <c r="AW43" s="2501"/>
      <c r="AX43" s="2500"/>
      <c r="AY43" s="2606"/>
      <c r="AZ43" s="2501"/>
      <c r="BA43" s="2581"/>
      <c r="BB43" s="2584"/>
      <c r="BC43" s="2435"/>
      <c r="BI43" s="1071">
        <v>14</v>
      </c>
    </row>
    <row r="44" spans="1:61" ht="14.65" customHeight="1">
      <c r="A44" s="1286"/>
      <c r="B44" s="1286" t="s">
        <v>136</v>
      </c>
      <c r="C44" s="1286" t="s">
        <v>137</v>
      </c>
      <c r="D44" s="1286" t="s">
        <v>138</v>
      </c>
      <c r="E44" s="1280" t="s">
        <v>436</v>
      </c>
      <c r="F44" s="1280" t="s">
        <v>437</v>
      </c>
      <c r="G44" s="1280" t="s">
        <v>438</v>
      </c>
      <c r="H44" s="1280" t="s">
        <v>439</v>
      </c>
      <c r="I44" s="1280" t="s">
        <v>440</v>
      </c>
      <c r="J44" s="1280" t="s">
        <v>441</v>
      </c>
      <c r="K44" s="1280" t="s">
        <v>442</v>
      </c>
      <c r="L44" s="1280" t="s">
        <v>417</v>
      </c>
      <c r="Q44" s="228"/>
      <c r="R44" s="312"/>
      <c r="S44" s="2576"/>
      <c r="T44" s="2524"/>
      <c r="U44" s="239"/>
      <c r="V44" s="1395" t="s">
        <v>477</v>
      </c>
      <c r="W44" s="1395" t="s">
        <v>478</v>
      </c>
      <c r="X44" s="1395" t="s">
        <v>477</v>
      </c>
      <c r="Y44" s="1395" t="s">
        <v>478</v>
      </c>
      <c r="Z44" s="1405" t="s">
        <v>445</v>
      </c>
      <c r="AA44" s="2529" t="s">
        <v>446</v>
      </c>
      <c r="AB44" s="2543"/>
      <c r="AC44" s="2582"/>
      <c r="AD44" s="2613"/>
      <c r="AE44" s="2614"/>
      <c r="AF44" s="2614"/>
      <c r="AG44" s="2615"/>
      <c r="AH44" s="2613"/>
      <c r="AI44" s="2614"/>
      <c r="AJ44" s="2614"/>
      <c r="AK44" s="2615"/>
      <c r="AL44" s="2613"/>
      <c r="AM44" s="2614"/>
      <c r="AN44" s="2614"/>
      <c r="AO44" s="2615"/>
      <c r="AP44" s="2613"/>
      <c r="AQ44" s="2614"/>
      <c r="AR44" s="2614"/>
      <c r="AS44" s="2615"/>
      <c r="AT44" s="1395" t="s">
        <v>477</v>
      </c>
      <c r="AU44" s="1395" t="s">
        <v>478</v>
      </c>
      <c r="AV44" s="1395" t="s">
        <v>477</v>
      </c>
      <c r="AW44" s="1395" t="s">
        <v>478</v>
      </c>
      <c r="AX44" s="1405" t="s">
        <v>445</v>
      </c>
      <c r="AY44" s="2529" t="s">
        <v>446</v>
      </c>
      <c r="AZ44" s="2543"/>
      <c r="BA44" s="2582"/>
      <c r="BB44" s="2585"/>
      <c r="BC44" s="2435"/>
      <c r="BI44" s="1071">
        <v>14</v>
      </c>
    </row>
    <row r="45" spans="1:61" s="2335" customFormat="1" ht="0" hidden="1" customHeight="1">
      <c r="A45" s="1286"/>
      <c r="B45" s="1286"/>
      <c r="C45" s="1286"/>
      <c r="D45" s="1286"/>
      <c r="E45" s="1286"/>
      <c r="F45" s="1286"/>
      <c r="G45" s="1286"/>
      <c r="H45" s="1286"/>
      <c r="I45" s="1286"/>
      <c r="J45" s="1286"/>
      <c r="K45" s="1286"/>
      <c r="L45" s="1280"/>
      <c r="M45" s="1278"/>
      <c r="N45" s="1278"/>
      <c r="O45" s="1278"/>
      <c r="P45" s="446"/>
      <c r="Q45" s="1170"/>
      <c r="R45" s="1170">
        <v>1</v>
      </c>
      <c r="S45" s="1193" t="s">
        <v>109</v>
      </c>
      <c r="T45" s="1171" t="s">
        <v>110</v>
      </c>
      <c r="U45" s="1161" t="str">
        <f ca="1">OFFSET(U45,0,-1)</f>
        <v>2</v>
      </c>
      <c r="V45" s="1398">
        <f t="shared" ref="V45:AA45" ca="1" si="2">OFFSET(V45,0,-1)+1</f>
        <v>3</v>
      </c>
      <c r="W45" s="1398">
        <f t="shared" ca="1" si="2"/>
        <v>4</v>
      </c>
      <c r="X45" s="1398">
        <f t="shared" ca="1" si="2"/>
        <v>5</v>
      </c>
      <c r="Y45" s="1398">
        <f t="shared" ca="1" si="2"/>
        <v>6</v>
      </c>
      <c r="Z45" s="1398">
        <f t="shared" ca="1" si="2"/>
        <v>7</v>
      </c>
      <c r="AA45" s="2574">
        <f t="shared" ca="1" si="2"/>
        <v>8</v>
      </c>
      <c r="AB45" s="2574"/>
      <c r="AC45" s="1398">
        <f ca="1">OFFSET(AC45,0,-2)+1</f>
        <v>9</v>
      </c>
      <c r="AD45" s="1398">
        <f ca="1">OFFSET(AD45,0,-1)+1</f>
        <v>10</v>
      </c>
      <c r="AE45" s="1398"/>
      <c r="AF45" s="1398"/>
      <c r="AG45" s="1398"/>
      <c r="AH45" s="1398"/>
      <c r="AI45" s="1398"/>
      <c r="AJ45" s="1398"/>
      <c r="AK45" s="1398"/>
      <c r="AL45" s="1398"/>
      <c r="AM45" s="1398"/>
      <c r="AN45" s="1398"/>
      <c r="AO45" s="1398"/>
      <c r="AP45" s="1398"/>
      <c r="AQ45" s="1398"/>
      <c r="AR45" s="1398"/>
      <c r="AS45" s="1398"/>
      <c r="AT45" s="1398"/>
      <c r="AU45" s="1398"/>
      <c r="AV45" s="1398"/>
      <c r="AW45" s="1398">
        <f ca="1">OFFSET(AW45,0,-1)+1</f>
        <v>1</v>
      </c>
      <c r="AX45" s="1398">
        <f ca="1">OFFSET(AX45,0,-1)+1</f>
        <v>2</v>
      </c>
      <c r="AY45" s="2574">
        <f ca="1">OFFSET(AY45,0,-1)+1</f>
        <v>3</v>
      </c>
      <c r="AZ45" s="2574"/>
      <c r="BA45" s="1398">
        <f ca="1">OFFSET(BA45,0,-2)+1</f>
        <v>4</v>
      </c>
      <c r="BB45" s="1161">
        <f ca="1">OFFSET(BB45,0,-1)</f>
        <v>4</v>
      </c>
      <c r="BC45" s="1398">
        <f ca="1">OFFSET(BC45,0,-1)+1</f>
        <v>5</v>
      </c>
      <c r="BD45" s="447"/>
      <c r="BE45" s="447"/>
      <c r="BF45" s="447"/>
      <c r="BG45" s="447"/>
      <c r="BH45" s="447"/>
      <c r="BI45" s="432">
        <v>0</v>
      </c>
    </row>
    <row r="46" spans="1:61" ht="21.95" customHeight="1">
      <c r="A46" s="1279" t="s">
        <v>260</v>
      </c>
      <c r="B46" s="1279"/>
      <c r="C46" s="1279"/>
      <c r="D46" s="1279"/>
      <c r="E46" s="2563">
        <v>1</v>
      </c>
      <c r="F46" s="1279"/>
      <c r="G46" s="1279"/>
      <c r="H46" s="1279"/>
      <c r="I46" s="1279"/>
      <c r="J46" s="1279"/>
      <c r="K46" s="1279"/>
      <c r="L46" s="1280"/>
      <c r="M46" s="1281"/>
      <c r="N46" s="1281"/>
      <c r="O46" s="1281"/>
      <c r="P46" s="1325"/>
      <c r="Q46" s="799"/>
      <c r="R46" s="291"/>
      <c r="S46" s="1409">
        <f>INDEX(PT_DIFFERENTIATION_NUM_NTAR,MATCH(A46,PT_DIFFERENTIATION_NTAR_ID,0))</f>
        <v>0</v>
      </c>
      <c r="T46" s="235" t="s">
        <v>124</v>
      </c>
      <c r="U46" s="237"/>
      <c r="V46" s="2558"/>
      <c r="W46" s="2558"/>
      <c r="X46" s="2558"/>
      <c r="Y46" s="2558"/>
      <c r="Z46" s="2558"/>
      <c r="AA46" s="2558"/>
      <c r="AB46" s="2558"/>
      <c r="AC46" s="2559"/>
      <c r="AD46" s="2557" t="str">
        <f>INDEX(PT_DIFFERENTIATION_NTAR,MATCH(A46,PT_DIFFERENTIATION_NTAR_ID,0))</f>
        <v/>
      </c>
      <c r="AE46" s="2558"/>
      <c r="AF46" s="2558"/>
      <c r="AG46" s="2558"/>
      <c r="AH46" s="2558"/>
      <c r="AI46" s="2558"/>
      <c r="AJ46" s="2558"/>
      <c r="AK46" s="2558"/>
      <c r="AL46" s="2558"/>
      <c r="AM46" s="2558"/>
      <c r="AN46" s="2558"/>
      <c r="AO46" s="2558"/>
      <c r="AP46" s="2558"/>
      <c r="AQ46" s="2558"/>
      <c r="AR46" s="2558"/>
      <c r="AS46" s="2558"/>
      <c r="AT46" s="2558"/>
      <c r="AU46" s="2558"/>
      <c r="AV46" s="2558"/>
      <c r="AW46" s="2558"/>
      <c r="AX46" s="2558"/>
      <c r="AY46" s="2558"/>
      <c r="AZ46" s="2558"/>
      <c r="BA46" s="2558"/>
      <c r="BB46" s="2559"/>
      <c r="BC46" s="117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1">
        <v>21</v>
      </c>
    </row>
    <row r="47" spans="1:61" ht="21.95" customHeight="1">
      <c r="A47" s="1279" t="s">
        <v>260</v>
      </c>
      <c r="B47" s="1279" t="s">
        <v>261</v>
      </c>
      <c r="C47" s="1279"/>
      <c r="D47" s="1279"/>
      <c r="E47" s="2564"/>
      <c r="F47" s="2563">
        <v>1</v>
      </c>
      <c r="G47" s="1279"/>
      <c r="H47" s="1279"/>
      <c r="I47" s="1279"/>
      <c r="J47" s="1279"/>
      <c r="K47" s="1279"/>
      <c r="L47" s="1280"/>
      <c r="M47" s="1281"/>
      <c r="N47" s="1281"/>
      <c r="O47" s="1281"/>
      <c r="P47" s="1326"/>
      <c r="Q47" s="1327"/>
      <c r="R47" s="289"/>
      <c r="S47" s="1409" t="str">
        <f>INDEX(PT_DIFFERENTIATION_NUM_TER,MATCH(B47,PT_DIFFERENTIATION_TER_ID,0))</f>
        <v>.</v>
      </c>
      <c r="T47" s="245" t="s">
        <v>396</v>
      </c>
      <c r="U47" s="237"/>
      <c r="V47" s="2558"/>
      <c r="W47" s="2558"/>
      <c r="X47" s="2558"/>
      <c r="Y47" s="2558"/>
      <c r="Z47" s="2558"/>
      <c r="AA47" s="2558"/>
      <c r="AB47" s="2558"/>
      <c r="AC47" s="2559"/>
      <c r="AD47" s="2557" t="str">
        <f>INDEX(PT_DIFFERENTIATION_TER,MATCH(B47,PT_DIFFERENTIATION_TER_ID,0))</f>
        <v/>
      </c>
      <c r="AE47" s="2558"/>
      <c r="AF47" s="2558"/>
      <c r="AG47" s="2558"/>
      <c r="AH47" s="2558"/>
      <c r="AI47" s="2558"/>
      <c r="AJ47" s="2558"/>
      <c r="AK47" s="2558"/>
      <c r="AL47" s="2558"/>
      <c r="AM47" s="2558"/>
      <c r="AN47" s="2558"/>
      <c r="AO47" s="2558"/>
      <c r="AP47" s="2558"/>
      <c r="AQ47" s="2558"/>
      <c r="AR47" s="2558"/>
      <c r="AS47" s="2558"/>
      <c r="AT47" s="2558"/>
      <c r="AU47" s="2558"/>
      <c r="AV47" s="2558"/>
      <c r="AW47" s="2558"/>
      <c r="AX47" s="2558"/>
      <c r="AY47" s="2558"/>
      <c r="AZ47" s="2558"/>
      <c r="BA47" s="2558"/>
      <c r="BB47" s="2559"/>
      <c r="BC47" s="1174" t="s">
        <v>397</v>
      </c>
      <c r="BE47" s="436"/>
      <c r="BF47" s="436" t="str">
        <f t="shared" si="3"/>
        <v>Территория действия тарифа</v>
      </c>
      <c r="BG47" s="436"/>
      <c r="BH47" s="436"/>
      <c r="BI47" s="1071">
        <v>21</v>
      </c>
    </row>
    <row r="48" spans="1:61" ht="35.65" customHeight="1">
      <c r="A48" s="1279" t="s">
        <v>260</v>
      </c>
      <c r="B48" s="1279" t="s">
        <v>261</v>
      </c>
      <c r="C48" s="1279" t="s">
        <v>262</v>
      </c>
      <c r="D48" s="1279"/>
      <c r="E48" s="2564"/>
      <c r="F48" s="2564"/>
      <c r="G48" s="2563">
        <v>1</v>
      </c>
      <c r="H48" s="1279"/>
      <c r="I48" s="1279"/>
      <c r="J48" s="1279"/>
      <c r="K48" s="1279"/>
      <c r="L48" s="1280"/>
      <c r="M48" s="1281"/>
      <c r="N48" s="1281"/>
      <c r="O48" s="1281"/>
      <c r="P48" s="1328"/>
      <c r="Q48" s="1327"/>
      <c r="R48" s="289"/>
      <c r="S48" s="1409" t="str">
        <f>INDEX(PT_DIFFERENTIATION_NUM_CS,MATCH(C48,PT_DIFFERENTIATION_CS_ID,0))</f>
        <v>..</v>
      </c>
      <c r="T48" s="246" t="s">
        <v>529</v>
      </c>
      <c r="U48" s="237"/>
      <c r="V48" s="2558"/>
      <c r="W48" s="2558"/>
      <c r="X48" s="2558"/>
      <c r="Y48" s="2558"/>
      <c r="Z48" s="2558"/>
      <c r="AA48" s="2558"/>
      <c r="AB48" s="2558"/>
      <c r="AC48" s="2559"/>
      <c r="AD48" s="2557" t="str">
        <f>INDEX(PT_DIFFERENTIATION_CS,MATCH(C48,PT_DIFFERENTIATION_CS_ID,0))</f>
        <v/>
      </c>
      <c r="AE48" s="2558"/>
      <c r="AF48" s="2558"/>
      <c r="AG48" s="2558"/>
      <c r="AH48" s="2558"/>
      <c r="AI48" s="2558"/>
      <c r="AJ48" s="2558"/>
      <c r="AK48" s="2558"/>
      <c r="AL48" s="2558"/>
      <c r="AM48" s="2558"/>
      <c r="AN48" s="2558"/>
      <c r="AO48" s="2558"/>
      <c r="AP48" s="2558"/>
      <c r="AQ48" s="2558"/>
      <c r="AR48" s="2558"/>
      <c r="AS48" s="2558"/>
      <c r="AT48" s="2558"/>
      <c r="AU48" s="2558"/>
      <c r="AV48" s="2558"/>
      <c r="AW48" s="2558"/>
      <c r="AX48" s="2558"/>
      <c r="AY48" s="2558"/>
      <c r="AZ48" s="2558"/>
      <c r="BA48" s="2558"/>
      <c r="BB48" s="2559"/>
      <c r="BC48" s="1174" t="s">
        <v>530</v>
      </c>
      <c r="BE48" s="436"/>
      <c r="BF48" s="436" t="str">
        <f t="shared" si="3"/>
        <v>Наименование централизованной системы горячего водоснабжения</v>
      </c>
      <c r="BG48" s="436"/>
      <c r="BH48" s="436"/>
      <c r="BI48" s="1071">
        <v>34</v>
      </c>
    </row>
    <row r="49" spans="1:61" s="2344" customFormat="1" ht="0" hidden="1" customHeight="1">
      <c r="A49" s="1259" t="s">
        <v>260</v>
      </c>
      <c r="B49" s="1259" t="s">
        <v>261</v>
      </c>
      <c r="C49" s="1259" t="s">
        <v>262</v>
      </c>
      <c r="D49" s="1259" t="s">
        <v>543</v>
      </c>
      <c r="E49" s="2564"/>
      <c r="F49" s="2564"/>
      <c r="G49" s="2564"/>
      <c r="H49" s="2563">
        <v>1</v>
      </c>
      <c r="I49" s="1259"/>
      <c r="J49" s="1259"/>
      <c r="K49" s="1259"/>
      <c r="L49" s="1262"/>
      <c r="M49" s="1231"/>
      <c r="N49" s="1231"/>
      <c r="O49" s="1231"/>
      <c r="P49" s="1413"/>
      <c r="Q49" s="1414"/>
      <c r="R49" s="293"/>
      <c r="S49" s="964"/>
      <c r="T49" s="1415"/>
      <c r="U49" s="1300"/>
      <c r="V49" s="2595"/>
      <c r="W49" s="2595"/>
      <c r="X49" s="2595"/>
      <c r="Y49" s="2595"/>
      <c r="Z49" s="2595"/>
      <c r="AA49" s="2595"/>
      <c r="AB49" s="2595"/>
      <c r="AC49" s="2596"/>
      <c r="AD49" s="2594"/>
      <c r="AE49" s="2595"/>
      <c r="AF49" s="2595"/>
      <c r="AG49" s="2595"/>
      <c r="AH49" s="2595"/>
      <c r="AI49" s="2595"/>
      <c r="AJ49" s="2595"/>
      <c r="AK49" s="2595"/>
      <c r="AL49" s="2595"/>
      <c r="AM49" s="2595"/>
      <c r="AN49" s="2595"/>
      <c r="AO49" s="2595"/>
      <c r="AP49" s="2595"/>
      <c r="AQ49" s="2595"/>
      <c r="AR49" s="2595"/>
      <c r="AS49" s="2595"/>
      <c r="AT49" s="2595"/>
      <c r="AU49" s="2595"/>
      <c r="AV49" s="2595"/>
      <c r="AW49" s="2595"/>
      <c r="AX49" s="2595"/>
      <c r="AY49" s="2595"/>
      <c r="AZ49" s="2595"/>
      <c r="BA49" s="2595"/>
      <c r="BB49" s="2596"/>
      <c r="BC49" s="1301" t="s">
        <v>401</v>
      </c>
      <c r="BE49" s="436"/>
      <c r="BF49" s="436" t="str">
        <f t="shared" si="3"/>
        <v/>
      </c>
      <c r="BG49" s="436"/>
      <c r="BH49" s="436"/>
      <c r="BI49" s="447">
        <v>0</v>
      </c>
    </row>
    <row r="50" spans="1:61" s="2344" customFormat="1" ht="0" hidden="1" customHeight="1">
      <c r="A50" s="1259" t="s">
        <v>260</v>
      </c>
      <c r="B50" s="1259" t="s">
        <v>261</v>
      </c>
      <c r="C50" s="1259" t="s">
        <v>262</v>
      </c>
      <c r="D50" s="1259" t="s">
        <v>543</v>
      </c>
      <c r="E50" s="2564"/>
      <c r="F50" s="2564"/>
      <c r="G50" s="2564"/>
      <c r="H50" s="2564"/>
      <c r="I50" s="2565" t="str">
        <f>S49&amp;".1"</f>
        <v>.1</v>
      </c>
      <c r="J50" s="1259"/>
      <c r="K50" s="1259"/>
      <c r="L50" s="1262" t="s">
        <v>402</v>
      </c>
      <c r="M50" s="446"/>
      <c r="N50" s="446"/>
      <c r="O50" s="446"/>
      <c r="P50" s="2567">
        <v>1</v>
      </c>
      <c r="Q50" s="1397"/>
      <c r="R50" s="292"/>
      <c r="S50" s="964"/>
      <c r="T50" s="1299"/>
      <c r="U50" s="1300"/>
      <c r="V50" s="2595"/>
      <c r="W50" s="2595"/>
      <c r="X50" s="2595"/>
      <c r="Y50" s="2595"/>
      <c r="Z50" s="2595"/>
      <c r="AA50" s="2595"/>
      <c r="AB50" s="2595"/>
      <c r="AC50" s="2596"/>
      <c r="AD50" s="2594"/>
      <c r="AE50" s="2595"/>
      <c r="AF50" s="2595"/>
      <c r="AG50" s="2595"/>
      <c r="AH50" s="2595"/>
      <c r="AI50" s="2595"/>
      <c r="AJ50" s="2595"/>
      <c r="AK50" s="2595"/>
      <c r="AL50" s="2595"/>
      <c r="AM50" s="2595"/>
      <c r="AN50" s="2595"/>
      <c r="AO50" s="2595"/>
      <c r="AP50" s="2595"/>
      <c r="AQ50" s="2595"/>
      <c r="AR50" s="2595"/>
      <c r="AS50" s="2595"/>
      <c r="AT50" s="2595"/>
      <c r="AU50" s="2595"/>
      <c r="AV50" s="2595"/>
      <c r="AW50" s="2595"/>
      <c r="AX50" s="2595"/>
      <c r="AY50" s="2595"/>
      <c r="AZ50" s="2595"/>
      <c r="BA50" s="2595"/>
      <c r="BB50" s="2596"/>
      <c r="BC50" s="1301"/>
      <c r="BE50" s="436"/>
      <c r="BF50" s="436" t="str">
        <f t="shared" si="3"/>
        <v/>
      </c>
      <c r="BG50" s="436"/>
      <c r="BH50" s="436"/>
      <c r="BI50" s="447">
        <v>0</v>
      </c>
    </row>
    <row r="51" spans="1:61" s="2344" customFormat="1" ht="0" hidden="1" customHeight="1">
      <c r="A51" s="1259" t="s">
        <v>260</v>
      </c>
      <c r="B51" s="1259" t="s">
        <v>261</v>
      </c>
      <c r="C51" s="1259" t="s">
        <v>262</v>
      </c>
      <c r="D51" s="1259" t="s">
        <v>543</v>
      </c>
      <c r="E51" s="2564"/>
      <c r="F51" s="2564"/>
      <c r="G51" s="2564"/>
      <c r="H51" s="2564"/>
      <c r="I51" s="2566"/>
      <c r="J51" s="2565" t="str">
        <f>S49&amp;".1"</f>
        <v>.1</v>
      </c>
      <c r="K51" s="1259"/>
      <c r="L51" s="1262"/>
      <c r="M51" s="446"/>
      <c r="N51" s="446"/>
      <c r="O51" s="446"/>
      <c r="P51" s="2567"/>
      <c r="Q51" s="2567">
        <v>1</v>
      </c>
      <c r="R51" s="293"/>
      <c r="S51" s="964"/>
      <c r="T51" s="1315"/>
      <c r="U51" s="1300"/>
      <c r="V51" s="2595"/>
      <c r="W51" s="2595"/>
      <c r="X51" s="2595"/>
      <c r="Y51" s="2595"/>
      <c r="Z51" s="2595"/>
      <c r="AA51" s="2595"/>
      <c r="AB51" s="2595"/>
      <c r="AC51" s="2596"/>
      <c r="AD51" s="2594"/>
      <c r="AE51" s="2595"/>
      <c r="AF51" s="2595"/>
      <c r="AG51" s="2595"/>
      <c r="AH51" s="2595"/>
      <c r="AI51" s="2595"/>
      <c r="AJ51" s="2595"/>
      <c r="AK51" s="2595"/>
      <c r="AL51" s="2595"/>
      <c r="AM51" s="2595"/>
      <c r="AN51" s="2646"/>
      <c r="AO51" s="2646"/>
      <c r="AP51" s="2595"/>
      <c r="AQ51" s="2595"/>
      <c r="AR51" s="2595"/>
      <c r="AS51" s="2595"/>
      <c r="AT51" s="2595"/>
      <c r="AU51" s="2595"/>
      <c r="AV51" s="2595"/>
      <c r="AW51" s="2595"/>
      <c r="AX51" s="2595"/>
      <c r="AY51" s="2595"/>
      <c r="AZ51" s="2595"/>
      <c r="BA51" s="2595"/>
      <c r="BB51" s="2596"/>
      <c r="BC51" s="1301"/>
      <c r="BE51" s="436"/>
      <c r="BF51" s="436" t="str">
        <f t="shared" si="3"/>
        <v/>
      </c>
      <c r="BG51" s="436"/>
      <c r="BH51" s="436"/>
      <c r="BI51" s="447">
        <v>0</v>
      </c>
    </row>
    <row r="52" spans="1:61" ht="11.45" customHeight="1">
      <c r="A52" s="1279" t="s">
        <v>260</v>
      </c>
      <c r="B52" s="1279" t="s">
        <v>261</v>
      </c>
      <c r="C52" s="1279" t="s">
        <v>262</v>
      </c>
      <c r="D52" s="1279" t="s">
        <v>543</v>
      </c>
      <c r="E52" s="2564"/>
      <c r="F52" s="2564"/>
      <c r="G52" s="2564"/>
      <c r="H52" s="2564"/>
      <c r="I52" s="2566"/>
      <c r="J52" s="2566"/>
      <c r="K52" s="2565" t="str">
        <f>S48&amp;".1"</f>
        <v>...1</v>
      </c>
      <c r="L52" s="1280"/>
      <c r="P52" s="2567"/>
      <c r="Q52" s="2567"/>
      <c r="R52" s="293">
        <v>1</v>
      </c>
      <c r="S52" s="2620" t="str">
        <f>$K52</f>
        <v>...1</v>
      </c>
      <c r="T52" s="2640"/>
      <c r="U52" s="237"/>
      <c r="V52" s="687"/>
      <c r="W52" s="1173"/>
      <c r="X52" s="687"/>
      <c r="Y52" s="1173"/>
      <c r="Z52" s="1649"/>
      <c r="AA52" s="1385" t="s">
        <v>62</v>
      </c>
      <c r="AB52" s="1649"/>
      <c r="AC52" s="1385" t="s">
        <v>62</v>
      </c>
      <c r="AD52" s="2507" t="s">
        <v>62</v>
      </c>
      <c r="AE52" s="2616"/>
      <c r="AF52" s="2520">
        <v>1</v>
      </c>
      <c r="AG52" s="2639"/>
      <c r="AH52" s="2445" t="s">
        <v>62</v>
      </c>
      <c r="AI52" s="2616"/>
      <c r="AJ52" s="2520">
        <v>1</v>
      </c>
      <c r="AK52" s="2630" t="s">
        <v>22</v>
      </c>
      <c r="AL52" s="2445" t="s">
        <v>62</v>
      </c>
      <c r="AM52" s="2495"/>
      <c r="AN52" s="2520">
        <v>1</v>
      </c>
      <c r="AO52" s="2643"/>
      <c r="AP52" s="2644" t="s">
        <v>62</v>
      </c>
      <c r="AQ52" s="248"/>
      <c r="AR52" s="1402">
        <v>1</v>
      </c>
      <c r="AS52" s="1408" t="s">
        <v>22</v>
      </c>
      <c r="AT52" s="687"/>
      <c r="AU52" s="1173"/>
      <c r="AV52" s="687"/>
      <c r="AW52" s="1173"/>
      <c r="AX52" s="1649"/>
      <c r="AY52" s="1385" t="s">
        <v>62</v>
      </c>
      <c r="AZ52" s="1649"/>
      <c r="BA52" s="1385" t="s">
        <v>62</v>
      </c>
      <c r="BB52" s="1264"/>
      <c r="BC52" s="2586" t="s">
        <v>500</v>
      </c>
      <c r="BE52" s="436"/>
      <c r="BF52" s="436" t="str">
        <f t="shared" si="3"/>
        <v/>
      </c>
      <c r="BG52" s="436"/>
      <c r="BH52" s="436"/>
      <c r="BI52" s="1071">
        <v>11</v>
      </c>
    </row>
    <row r="53" spans="1:61" ht="11.45" customHeight="1">
      <c r="A53" s="1279"/>
      <c r="B53" s="1279"/>
      <c r="C53" s="1279"/>
      <c r="D53" s="1279"/>
      <c r="E53" s="2564"/>
      <c r="F53" s="2564"/>
      <c r="G53" s="2564"/>
      <c r="H53" s="2564"/>
      <c r="I53" s="2566"/>
      <c r="J53" s="2566"/>
      <c r="K53" s="2565"/>
      <c r="L53" s="1280"/>
      <c r="P53" s="2567"/>
      <c r="Q53" s="2567"/>
      <c r="R53" s="293"/>
      <c r="S53" s="2621"/>
      <c r="T53" s="2641"/>
      <c r="U53" s="237"/>
      <c r="V53" s="1309"/>
      <c r="W53" s="1412"/>
      <c r="X53" s="1309"/>
      <c r="Y53" s="1412"/>
      <c r="Z53" s="1309"/>
      <c r="AA53" s="1309"/>
      <c r="AB53" s="1309"/>
      <c r="AC53" s="1309"/>
      <c r="AD53" s="2508"/>
      <c r="AE53" s="2616"/>
      <c r="AF53" s="2520"/>
      <c r="AG53" s="2639"/>
      <c r="AH53" s="2445"/>
      <c r="AI53" s="2616"/>
      <c r="AJ53" s="2520"/>
      <c r="AK53" s="2630"/>
      <c r="AL53" s="2445"/>
      <c r="AM53" s="2500"/>
      <c r="AN53" s="2520"/>
      <c r="AO53" s="2643"/>
      <c r="AP53" s="2645"/>
      <c r="AQ53" s="253"/>
      <c r="AR53" s="352"/>
      <c r="AS53" s="352" t="s">
        <v>501</v>
      </c>
      <c r="AT53" s="1309"/>
      <c r="AU53" s="1412"/>
      <c r="AV53" s="1309"/>
      <c r="AW53" s="1412"/>
      <c r="AX53" s="1309"/>
      <c r="AY53" s="1309"/>
      <c r="AZ53" s="1309"/>
      <c r="BA53" s="1309"/>
      <c r="BB53" s="1313"/>
      <c r="BC53" s="2587"/>
      <c r="BE53" s="436"/>
      <c r="BF53" s="436"/>
      <c r="BG53" s="436"/>
      <c r="BH53" s="436"/>
      <c r="BI53" s="1071">
        <v>11</v>
      </c>
    </row>
    <row r="54" spans="1:61" ht="11.45" customHeight="1">
      <c r="A54" s="1279" t="s">
        <v>260</v>
      </c>
      <c r="B54" s="1279"/>
      <c r="C54" s="1279"/>
      <c r="D54" s="1279"/>
      <c r="E54" s="2564"/>
      <c r="F54" s="2564"/>
      <c r="G54" s="2564"/>
      <c r="H54" s="2564"/>
      <c r="I54" s="2566"/>
      <c r="J54" s="2566"/>
      <c r="K54" s="2565"/>
      <c r="L54" s="1280"/>
      <c r="P54" s="2567"/>
      <c r="Q54" s="2567"/>
      <c r="R54" s="293"/>
      <c r="S54" s="2621"/>
      <c r="T54" s="2641"/>
      <c r="U54" s="237"/>
      <c r="V54" s="1309"/>
      <c r="W54" s="1412"/>
      <c r="X54" s="1309"/>
      <c r="Y54" s="1412"/>
      <c r="Z54" s="1309"/>
      <c r="AA54" s="1309"/>
      <c r="AB54" s="1309"/>
      <c r="AC54" s="1309"/>
      <c r="AD54" s="2508"/>
      <c r="AE54" s="2616"/>
      <c r="AF54" s="2520"/>
      <c r="AG54" s="2639"/>
      <c r="AH54" s="2445"/>
      <c r="AI54" s="2616"/>
      <c r="AJ54" s="2520"/>
      <c r="AK54" s="2630"/>
      <c r="AL54" s="2445"/>
      <c r="AM54" s="253"/>
      <c r="AN54" s="1416"/>
      <c r="AO54" s="1416" t="s">
        <v>502</v>
      </c>
      <c r="AP54" s="352"/>
      <c r="AQ54" s="352"/>
      <c r="AR54" s="352"/>
      <c r="AS54" s="1309"/>
      <c r="AT54" s="1309"/>
      <c r="AU54" s="1412"/>
      <c r="AV54" s="1309"/>
      <c r="AW54" s="1412"/>
      <c r="AX54" s="1309"/>
      <c r="AY54" s="1309"/>
      <c r="AZ54" s="1309"/>
      <c r="BA54" s="1309"/>
      <c r="BB54" s="1313"/>
      <c r="BC54" s="2587"/>
      <c r="BE54" s="436"/>
      <c r="BF54" s="436"/>
      <c r="BG54" s="436"/>
      <c r="BH54" s="436"/>
      <c r="BI54" s="1071">
        <v>11</v>
      </c>
    </row>
    <row r="55" spans="1:61" ht="11.45" customHeight="1">
      <c r="A55" s="1279" t="s">
        <v>260</v>
      </c>
      <c r="B55" s="1279"/>
      <c r="C55" s="1279"/>
      <c r="D55" s="1279"/>
      <c r="E55" s="2564"/>
      <c r="F55" s="2564"/>
      <c r="G55" s="2564"/>
      <c r="H55" s="2564"/>
      <c r="I55" s="2566"/>
      <c r="J55" s="2566"/>
      <c r="K55" s="2565"/>
      <c r="L55" s="1280"/>
      <c r="P55" s="2567"/>
      <c r="Q55" s="2567"/>
      <c r="R55" s="293"/>
      <c r="S55" s="2621"/>
      <c r="T55" s="2641"/>
      <c r="U55" s="237"/>
      <c r="V55" s="1309"/>
      <c r="W55" s="1412"/>
      <c r="X55" s="1309"/>
      <c r="Y55" s="1412"/>
      <c r="Z55" s="1309"/>
      <c r="AA55" s="1309"/>
      <c r="AB55" s="1309"/>
      <c r="AC55" s="1309"/>
      <c r="AD55" s="2508"/>
      <c r="AE55" s="2616"/>
      <c r="AF55" s="2520"/>
      <c r="AG55" s="2639"/>
      <c r="AH55" s="2445"/>
      <c r="AI55" s="231"/>
      <c r="AJ55" s="351"/>
      <c r="AK55" s="250" t="s">
        <v>503</v>
      </c>
      <c r="AL55" s="1309"/>
      <c r="AM55" s="1309"/>
      <c r="AN55" s="1309"/>
      <c r="AO55" s="1309"/>
      <c r="AP55" s="1309"/>
      <c r="AQ55" s="1309"/>
      <c r="AR55" s="1309"/>
      <c r="AS55" s="1309"/>
      <c r="AT55" s="1309"/>
      <c r="AU55" s="1412"/>
      <c r="AV55" s="1309"/>
      <c r="AW55" s="1412"/>
      <c r="AX55" s="1309"/>
      <c r="AY55" s="1309"/>
      <c r="AZ55" s="1309"/>
      <c r="BA55" s="1309"/>
      <c r="BB55" s="1313"/>
      <c r="BC55" s="2587"/>
      <c r="BE55" s="436"/>
      <c r="BF55" s="436"/>
      <c r="BG55" s="436"/>
      <c r="BH55" s="436"/>
      <c r="BI55" s="1071">
        <v>11</v>
      </c>
    </row>
    <row r="56" spans="1:61" ht="11.45" customHeight="1">
      <c r="A56" s="1279" t="s">
        <v>260</v>
      </c>
      <c r="B56" s="1279" t="s">
        <v>261</v>
      </c>
      <c r="C56" s="1279" t="s">
        <v>262</v>
      </c>
      <c r="D56" s="1279" t="s">
        <v>543</v>
      </c>
      <c r="E56" s="2564"/>
      <c r="F56" s="2564"/>
      <c r="G56" s="2564"/>
      <c r="H56" s="2564"/>
      <c r="I56" s="2566"/>
      <c r="J56" s="2566"/>
      <c r="K56" s="2565"/>
      <c r="L56" s="1280"/>
      <c r="P56" s="2567"/>
      <c r="Q56" s="2567"/>
      <c r="R56" s="293"/>
      <c r="S56" s="2622"/>
      <c r="T56" s="2642"/>
      <c r="U56" s="237"/>
      <c r="V56" s="1309"/>
      <c r="W56" s="1310" t="str">
        <f>Z52&amp;"-"&amp;AB52</f>
        <v>-</v>
      </c>
      <c r="X56" s="1309"/>
      <c r="Y56" s="1310" t="str">
        <f>AB52&amp;"-"&amp;AD52</f>
        <v>-да</v>
      </c>
      <c r="Z56" s="1309"/>
      <c r="AA56" s="1309"/>
      <c r="AB56" s="1309"/>
      <c r="AC56" s="1309"/>
      <c r="AD56" s="2450"/>
      <c r="AE56" s="249"/>
      <c r="AF56" s="251"/>
      <c r="AG56" s="352" t="s">
        <v>504</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2587"/>
      <c r="BE56" s="436"/>
      <c r="BF56" s="436" t="str">
        <f t="shared" ref="BF56:BF63" si="4">IF(T56="","",T56)</f>
        <v/>
      </c>
      <c r="BG56" s="436"/>
      <c r="BH56" s="436"/>
      <c r="BI56" s="1071">
        <v>11</v>
      </c>
    </row>
    <row r="57" spans="1:61" ht="11.45" customHeight="1">
      <c r="A57" s="1279" t="s">
        <v>260</v>
      </c>
      <c r="B57" s="1279" t="s">
        <v>261</v>
      </c>
      <c r="C57" s="1279" t="s">
        <v>262</v>
      </c>
      <c r="D57" s="1279" t="s">
        <v>543</v>
      </c>
      <c r="E57" s="2564"/>
      <c r="F57" s="2564"/>
      <c r="G57" s="2564"/>
      <c r="H57" s="2564"/>
      <c r="I57" s="2566"/>
      <c r="J57" s="2565"/>
      <c r="K57" s="1279"/>
      <c r="L57" s="1280"/>
      <c r="P57" s="2567"/>
      <c r="Q57" s="2567"/>
      <c r="R57" s="292"/>
      <c r="S57" s="1194"/>
      <c r="T57" s="224" t="s">
        <v>467</v>
      </c>
      <c r="U57" s="303"/>
      <c r="V57" s="303"/>
      <c r="W57" s="303"/>
      <c r="X57" s="303"/>
      <c r="Y57" s="303"/>
      <c r="Z57" s="303"/>
      <c r="AA57" s="303"/>
      <c r="AB57" s="303"/>
      <c r="AC57" s="261"/>
      <c r="AD57" s="142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8"/>
      <c r="BE57" s="436"/>
      <c r="BF57" s="436" t="str">
        <f t="shared" si="4"/>
        <v>Добавить строку</v>
      </c>
      <c r="BG57" s="436"/>
      <c r="BH57" s="436"/>
      <c r="BI57" s="1071">
        <v>11</v>
      </c>
    </row>
    <row r="58" spans="1:61" s="2344" customFormat="1" ht="0" hidden="1" customHeight="1">
      <c r="A58" s="1259" t="s">
        <v>260</v>
      </c>
      <c r="B58" s="1259" t="s">
        <v>261</v>
      </c>
      <c r="C58" s="1259" t="s">
        <v>262</v>
      </c>
      <c r="D58" s="1259" t="s">
        <v>543</v>
      </c>
      <c r="E58" s="2564"/>
      <c r="F58" s="2564"/>
      <c r="G58" s="2564"/>
      <c r="H58" s="2564"/>
      <c r="I58" s="2565"/>
      <c r="J58" s="1259"/>
      <c r="K58" s="1259"/>
      <c r="L58" s="1262"/>
      <c r="M58" s="446"/>
      <c r="N58" s="446"/>
      <c r="O58" s="446"/>
      <c r="P58" s="2567"/>
      <c r="Q58" s="1397"/>
      <c r="R58" s="292"/>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36"/>
      <c r="BF58" s="436" t="str">
        <f t="shared" si="4"/>
        <v/>
      </c>
      <c r="BG58" s="436"/>
      <c r="BH58" s="436"/>
      <c r="BI58" s="447">
        <v>0</v>
      </c>
    </row>
    <row r="59" spans="1:61" s="2344" customFormat="1" ht="0" hidden="1" customHeight="1">
      <c r="A59" s="1259" t="s">
        <v>260</v>
      </c>
      <c r="B59" s="1259" t="s">
        <v>261</v>
      </c>
      <c r="C59" s="1259" t="s">
        <v>262</v>
      </c>
      <c r="D59" s="1259" t="s">
        <v>543</v>
      </c>
      <c r="E59" s="2564"/>
      <c r="F59" s="2564"/>
      <c r="G59" s="2564"/>
      <c r="H59" s="2563"/>
      <c r="I59" s="1259"/>
      <c r="J59" s="1259"/>
      <c r="K59" s="1259"/>
      <c r="L59" s="1262"/>
      <c r="M59" s="1231"/>
      <c r="N59" s="1231"/>
      <c r="O59" s="454"/>
      <c r="P59" s="316"/>
      <c r="Q59" s="1260"/>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36"/>
      <c r="BF59" s="436" t="str">
        <f t="shared" si="4"/>
        <v/>
      </c>
      <c r="BG59" s="436"/>
      <c r="BH59" s="436"/>
      <c r="BI59" s="447">
        <v>0</v>
      </c>
    </row>
    <row r="60" spans="1:61" s="2344" customFormat="1" ht="0" hidden="1" customHeight="1">
      <c r="A60" s="1259" t="s">
        <v>260</v>
      </c>
      <c r="B60" s="1259" t="s">
        <v>261</v>
      </c>
      <c r="C60" s="1259" t="s">
        <v>262</v>
      </c>
      <c r="D60" s="1230"/>
      <c r="E60" s="2564"/>
      <c r="F60" s="2564"/>
      <c r="G60" s="2563"/>
      <c r="H60" s="1230"/>
      <c r="I60" s="1230"/>
      <c r="J60" s="1230"/>
      <c r="K60" s="1230"/>
      <c r="L60" s="1410"/>
      <c r="M60" s="1231"/>
      <c r="N60" s="1231"/>
      <c r="P60" s="1232"/>
      <c r="Q60" s="1233"/>
      <c r="R60" s="1232"/>
      <c r="S60" s="1238"/>
      <c r="T60" s="1241"/>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1240"/>
      <c r="AP60" s="1240"/>
      <c r="AQ60" s="1240"/>
      <c r="AR60" s="1240"/>
      <c r="AS60" s="1240"/>
      <c r="AT60" s="1240"/>
      <c r="AU60" s="1240"/>
      <c r="AV60" s="1240"/>
      <c r="AW60" s="1240"/>
      <c r="AX60" s="1240"/>
      <c r="AY60" s="1240"/>
      <c r="AZ60" s="1240"/>
      <c r="BA60" s="1240"/>
      <c r="BB60" s="1240"/>
      <c r="BC60" s="1240"/>
      <c r="BE60" s="719"/>
      <c r="BF60" s="719" t="str">
        <f t="shared" si="4"/>
        <v/>
      </c>
      <c r="BG60" s="719"/>
      <c r="BH60" s="719"/>
      <c r="BI60" s="454">
        <v>0</v>
      </c>
    </row>
    <row r="61" spans="1:61" s="2344" customFormat="1" ht="0" hidden="1" customHeight="1">
      <c r="A61" s="1259" t="s">
        <v>260</v>
      </c>
      <c r="B61" s="1259" t="s">
        <v>261</v>
      </c>
      <c r="C61" s="1230"/>
      <c r="D61" s="1230"/>
      <c r="E61" s="2564"/>
      <c r="F61" s="2563"/>
      <c r="G61" s="1230"/>
      <c r="H61" s="1230"/>
      <c r="I61" s="1230"/>
      <c r="J61" s="1230"/>
      <c r="K61" s="1230"/>
      <c r="L61" s="1410"/>
      <c r="M61" s="1237"/>
      <c r="N61" s="1237"/>
      <c r="P61" s="1232"/>
      <c r="Q61" s="1233"/>
      <c r="R61" s="1232"/>
      <c r="S61" s="1238"/>
      <c r="T61" s="1241" t="s">
        <v>414</v>
      </c>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0"/>
      <c r="AT61" s="1240"/>
      <c r="AU61" s="1240"/>
      <c r="AV61" s="1240"/>
      <c r="AW61" s="1240"/>
      <c r="AX61" s="1240"/>
      <c r="AY61" s="1240"/>
      <c r="AZ61" s="1240"/>
      <c r="BA61" s="1240"/>
      <c r="BB61" s="1240"/>
      <c r="BC61" s="1240"/>
      <c r="BE61" s="719"/>
      <c r="BF61" s="719" t="str">
        <f t="shared" si="4"/>
        <v>Добавить централизованную систему для дифференциации</v>
      </c>
      <c r="BG61" s="719"/>
      <c r="BH61" s="719"/>
      <c r="BI61" s="454">
        <v>0</v>
      </c>
    </row>
    <row r="62" spans="1:61" s="2344" customFormat="1" ht="0" hidden="1" customHeight="1">
      <c r="A62" s="1259" t="s">
        <v>260</v>
      </c>
      <c r="B62" s="1259"/>
      <c r="C62" s="1259"/>
      <c r="D62" s="1259"/>
      <c r="E62" s="2563"/>
      <c r="F62" s="1259"/>
      <c r="G62" s="1259"/>
      <c r="H62" s="1259"/>
      <c r="I62" s="1259"/>
      <c r="J62" s="1259"/>
      <c r="K62" s="1259"/>
      <c r="L62" s="1262"/>
      <c r="M62" s="1237"/>
      <c r="N62" s="1237"/>
      <c r="O62" s="454"/>
      <c r="P62" s="316"/>
      <c r="Q62" s="1260"/>
      <c r="R62" s="316"/>
      <c r="S62" s="1238"/>
      <c r="T62" s="1241" t="s">
        <v>415</v>
      </c>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1240"/>
      <c r="AP62" s="1240"/>
      <c r="AQ62" s="1240"/>
      <c r="AR62" s="1240"/>
      <c r="AS62" s="1240"/>
      <c r="AT62" s="1240"/>
      <c r="AU62" s="1240"/>
      <c r="AV62" s="1240"/>
      <c r="AW62" s="1240"/>
      <c r="AX62" s="1240"/>
      <c r="AY62" s="1240"/>
      <c r="AZ62" s="1240"/>
      <c r="BA62" s="1240"/>
      <c r="BB62" s="1240"/>
      <c r="BC62" s="1240"/>
      <c r="BE62" s="436"/>
      <c r="BF62" s="436" t="str">
        <f t="shared" si="4"/>
        <v>Добавить территорию для дифференциации</v>
      </c>
      <c r="BG62" s="436"/>
      <c r="BH62" s="436"/>
      <c r="BI62" s="447">
        <v>0</v>
      </c>
    </row>
    <row r="63" spans="1:61" s="2344" customFormat="1" ht="0" hidden="1" customHeight="1">
      <c r="A63" s="1230"/>
      <c r="B63" s="1230"/>
      <c r="C63" s="1230"/>
      <c r="D63" s="1230"/>
      <c r="E63" s="1259"/>
      <c r="F63" s="1230"/>
      <c r="G63" s="1230"/>
      <c r="H63" s="1230"/>
      <c r="I63" s="1230"/>
      <c r="J63" s="1230"/>
      <c r="K63" s="1230"/>
      <c r="L63" s="1410"/>
      <c r="M63" s="1237"/>
      <c r="N63" s="1237"/>
      <c r="P63" s="1232"/>
      <c r="Q63" s="1233"/>
      <c r="R63" s="1232"/>
      <c r="S63" s="1238"/>
      <c r="T63" s="1241" t="s">
        <v>447</v>
      </c>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1240"/>
      <c r="AP63" s="1240"/>
      <c r="AQ63" s="1240"/>
      <c r="AR63" s="1240"/>
      <c r="AS63" s="1240"/>
      <c r="AT63" s="1240"/>
      <c r="AU63" s="1240"/>
      <c r="AV63" s="1240"/>
      <c r="AW63" s="1240"/>
      <c r="AX63" s="1240"/>
      <c r="AY63" s="1240"/>
      <c r="AZ63" s="1240"/>
      <c r="BA63" s="1240"/>
      <c r="BB63" s="1240"/>
      <c r="BC63" s="1240"/>
      <c r="BE63" s="719"/>
      <c r="BF63" s="719" t="str">
        <f t="shared" si="4"/>
        <v>Добавить наименование тарифа</v>
      </c>
      <c r="BG63" s="719"/>
      <c r="BH63" s="719"/>
      <c r="BI63" s="454">
        <v>0</v>
      </c>
    </row>
    <row r="64" spans="1:61" ht="11.45" customHeight="1">
      <c r="M64" s="1076"/>
      <c r="N64" s="1076"/>
      <c r="O64" s="473"/>
      <c r="P64" s="1076"/>
      <c r="Q64" s="1076"/>
      <c r="R64" s="1071"/>
      <c r="S64" s="1071"/>
      <c r="BD64" s="1071"/>
      <c r="BE64" s="1071"/>
      <c r="BF64" s="1071"/>
      <c r="BG64" s="1071"/>
      <c r="BH64" s="1071"/>
      <c r="BI64" s="1071">
        <v>11</v>
      </c>
    </row>
    <row r="65" spans="1:61" ht="19.899999999999999" customHeight="1">
      <c r="O65" s="473"/>
      <c r="S65" s="1169"/>
      <c r="T65" s="2562"/>
      <c r="U65" s="2562"/>
      <c r="V65" s="2562"/>
      <c r="W65" s="2562"/>
      <c r="X65" s="2562"/>
      <c r="Y65" s="2562"/>
      <c r="Z65" s="2562"/>
      <c r="AA65" s="2562"/>
      <c r="AB65" s="2562"/>
      <c r="AC65" s="2562"/>
      <c r="AD65" s="2562"/>
      <c r="AE65" s="2562"/>
      <c r="AF65" s="2562"/>
      <c r="AG65" s="2562"/>
      <c r="AH65" s="2562"/>
      <c r="AI65" s="2562"/>
      <c r="AJ65" s="2562"/>
      <c r="AK65" s="2562"/>
      <c r="AL65" s="2562"/>
      <c r="AM65" s="2562"/>
      <c r="AN65" s="2562"/>
      <c r="AO65" s="2562"/>
      <c r="AP65" s="2562"/>
      <c r="AQ65" s="2562"/>
      <c r="AR65" s="2562"/>
      <c r="AS65" s="2562"/>
      <c r="AT65" s="2562"/>
      <c r="AU65" s="2562"/>
      <c r="AV65" s="2562"/>
      <c r="AW65" s="2562"/>
      <c r="AX65" s="2562"/>
      <c r="AY65" s="2562"/>
      <c r="AZ65" s="2562"/>
      <c r="BA65" s="2562"/>
      <c r="BB65" s="2562"/>
      <c r="BC65" s="2562"/>
      <c r="BI65" s="1071">
        <v>19</v>
      </c>
    </row>
    <row r="66" spans="1:61" ht="14.65" customHeight="1">
      <c r="O66" s="473"/>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AV66" s="1396"/>
      <c r="AW66" s="1396"/>
      <c r="AX66" s="1396"/>
      <c r="AY66" s="1396"/>
      <c r="AZ66" s="1396"/>
      <c r="BA66" s="1396"/>
      <c r="BB66" s="1396"/>
      <c r="BC66" s="1396"/>
      <c r="BI66" s="1071">
        <v>14</v>
      </c>
    </row>
    <row r="67" spans="1:61" ht="19.899999999999999" customHeight="1">
      <c r="O67" s="473"/>
      <c r="S67" s="1169"/>
      <c r="T67" s="2562"/>
      <c r="U67" s="2562"/>
      <c r="V67" s="2562"/>
      <c r="W67" s="2562"/>
      <c r="X67" s="2562"/>
      <c r="Y67" s="2562"/>
      <c r="Z67" s="2562"/>
      <c r="AA67" s="2562"/>
      <c r="AB67" s="2562"/>
      <c r="AC67" s="2562"/>
      <c r="AD67" s="2562"/>
      <c r="AE67" s="2562"/>
      <c r="AF67" s="2562"/>
      <c r="AG67" s="2562"/>
      <c r="AH67" s="2562"/>
      <c r="AI67" s="2562"/>
      <c r="AJ67" s="2562"/>
      <c r="AK67" s="2562"/>
      <c r="AL67" s="2562"/>
      <c r="AM67" s="2562"/>
      <c r="AN67" s="2562"/>
      <c r="AO67" s="2562"/>
      <c r="AP67" s="2562"/>
      <c r="AQ67" s="2562"/>
      <c r="AR67" s="2562"/>
      <c r="AS67" s="2562"/>
      <c r="AT67" s="2562"/>
      <c r="AU67" s="2562"/>
      <c r="AV67" s="2562"/>
      <c r="AW67" s="2562"/>
      <c r="AX67" s="2562"/>
      <c r="AY67" s="2562"/>
      <c r="AZ67" s="2562"/>
      <c r="BA67" s="2562"/>
      <c r="BB67" s="2562"/>
      <c r="BC67" s="2562"/>
      <c r="BI67" s="1071">
        <v>19</v>
      </c>
    </row>
    <row r="68" spans="1:61" ht="14.65" customHeight="1">
      <c r="O68" s="473"/>
      <c r="BI68" s="1071">
        <v>14</v>
      </c>
    </row>
    <row r="69" spans="1:61" ht="14.25" hidden="1" customHeight="1">
      <c r="A69" s="1076" t="s">
        <v>82</v>
      </c>
      <c r="B69" s="1076">
        <v>0</v>
      </c>
      <c r="C69" s="1076">
        <v>0</v>
      </c>
      <c r="D69" s="1076">
        <v>0</v>
      </c>
      <c r="E69" s="1076">
        <v>0</v>
      </c>
      <c r="F69" s="1076">
        <v>0</v>
      </c>
      <c r="G69" s="1076">
        <v>0</v>
      </c>
      <c r="H69" s="1076">
        <v>0</v>
      </c>
      <c r="I69" s="1076">
        <v>0</v>
      </c>
      <c r="J69" s="1076">
        <v>0</v>
      </c>
      <c r="K69" s="1076">
        <v>0</v>
      </c>
      <c r="L69" s="1394">
        <v>0</v>
      </c>
      <c r="M69" s="1278">
        <v>0</v>
      </c>
      <c r="N69" s="1278">
        <v>0</v>
      </c>
      <c r="O69" s="1278">
        <v>0</v>
      </c>
      <c r="P69" s="1278">
        <v>0</v>
      </c>
      <c r="Q69" s="1287">
        <v>0</v>
      </c>
      <c r="R69" s="281">
        <v>3</v>
      </c>
      <c r="S69" s="517">
        <v>12</v>
      </c>
      <c r="T69" s="1071">
        <v>31</v>
      </c>
      <c r="U69" s="1071">
        <v>0</v>
      </c>
      <c r="V69" s="1071">
        <v>0</v>
      </c>
      <c r="W69" s="1071">
        <v>0</v>
      </c>
      <c r="X69" s="1071">
        <v>0</v>
      </c>
      <c r="Y69" s="1071">
        <v>0</v>
      </c>
      <c r="Z69" s="1071">
        <v>0</v>
      </c>
      <c r="AA69" s="1071">
        <v>0</v>
      </c>
      <c r="AB69" s="1071">
        <v>0</v>
      </c>
      <c r="AC69" s="1071">
        <v>0</v>
      </c>
      <c r="AD69" s="1071">
        <v>3</v>
      </c>
      <c r="AE69" s="1071">
        <v>3</v>
      </c>
      <c r="AF69" s="1071">
        <v>3</v>
      </c>
      <c r="AG69" s="1071">
        <v>24</v>
      </c>
      <c r="AH69" s="1071">
        <v>3</v>
      </c>
      <c r="AI69" s="1071">
        <v>3</v>
      </c>
      <c r="AJ69" s="1071">
        <v>3</v>
      </c>
      <c r="AK69" s="1071">
        <v>24</v>
      </c>
      <c r="AL69" s="1071">
        <v>3</v>
      </c>
      <c r="AM69" s="1071">
        <v>3</v>
      </c>
      <c r="AN69" s="1071">
        <v>3</v>
      </c>
      <c r="AO69" s="1071">
        <v>18</v>
      </c>
      <c r="AP69" s="1071">
        <v>3</v>
      </c>
      <c r="AQ69" s="1071">
        <v>3</v>
      </c>
      <c r="AR69" s="1071">
        <v>3</v>
      </c>
      <c r="AS69" s="1071">
        <v>18</v>
      </c>
      <c r="AT69" s="1071">
        <v>21</v>
      </c>
      <c r="AU69" s="1071">
        <v>21</v>
      </c>
      <c r="AV69" s="1071">
        <v>21</v>
      </c>
      <c r="AW69" s="1071">
        <v>21</v>
      </c>
      <c r="AX69" s="1071">
        <v>11</v>
      </c>
      <c r="AY69" s="1071">
        <v>3</v>
      </c>
      <c r="AZ69" s="1071">
        <v>11</v>
      </c>
      <c r="BA69" s="1071">
        <v>0</v>
      </c>
      <c r="BB69" s="1071">
        <v>4</v>
      </c>
      <c r="BC69" s="1071">
        <v>115</v>
      </c>
      <c r="BD69" s="447">
        <v>10</v>
      </c>
      <c r="BE69" s="447">
        <v>10</v>
      </c>
      <c r="BF69" s="447">
        <v>10</v>
      </c>
      <c r="BG69" s="447">
        <v>10</v>
      </c>
      <c r="BH69" s="447">
        <v>10</v>
      </c>
      <c r="BI69" s="107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465"/>
  <sheetViews>
    <sheetView workbookViewId="0"/>
  </sheetViews>
  <sheetFormatPr defaultRowHeight="15"/>
  <sheetData>
    <row r="1" spans="1:32" ht="22.5">
      <c r="AF1" s="1547" t="s">
        <v>14</v>
      </c>
    </row>
    <row r="2" spans="1:32" ht="292.5">
      <c r="B2" s="1986"/>
      <c r="C2" s="1083" t="s">
        <v>544</v>
      </c>
      <c r="D2" s="1554"/>
      <c r="E2" s="482">
        <f>B2</f>
        <v>0</v>
      </c>
      <c r="F2" s="483"/>
      <c r="G2" s="1562" t="s">
        <v>545</v>
      </c>
      <c r="H2" s="1562" t="s">
        <v>545</v>
      </c>
      <c r="I2" s="1562" t="s">
        <v>545</v>
      </c>
      <c r="J2" s="226" t="s">
        <v>546</v>
      </c>
      <c r="K2" s="479"/>
      <c r="AF2" s="1547">
        <v>0</v>
      </c>
    </row>
    <row r="3" spans="1:32" ht="11.25">
      <c r="B3" s="1986"/>
      <c r="C3" s="1083"/>
      <c r="D3" s="484"/>
      <c r="E3" s="485"/>
      <c r="F3" s="486" t="s">
        <v>547</v>
      </c>
      <c r="G3" s="487"/>
      <c r="H3" s="935">
        <f>H4*H5+H6</f>
        <v>0</v>
      </c>
      <c r="I3" s="487">
        <f>I4*I5+I6</f>
        <v>0</v>
      </c>
      <c r="J3" s="488"/>
      <c r="AF3" s="1552">
        <v>0</v>
      </c>
    </row>
    <row r="4" spans="1:32" ht="270">
      <c r="B4" s="1986"/>
      <c r="C4" s="1083"/>
      <c r="D4" s="1554"/>
      <c r="E4" s="482" t="str">
        <f>B2&amp;".1"</f>
        <v>.1</v>
      </c>
      <c r="F4" s="489" t="s">
        <v>548</v>
      </c>
      <c r="G4" s="490"/>
      <c r="H4" s="477"/>
      <c r="I4" s="477"/>
      <c r="J4" s="226" t="s">
        <v>549</v>
      </c>
      <c r="K4" s="479"/>
      <c r="AF4" s="1547">
        <v>0</v>
      </c>
    </row>
    <row r="5" spans="1:32" ht="101.25">
      <c r="B5" s="1986"/>
      <c r="C5" s="1083"/>
      <c r="D5" s="1554"/>
      <c r="E5" s="482" t="str">
        <f>B2&amp;".2"</f>
        <v>.2</v>
      </c>
      <c r="F5" s="489" t="s">
        <v>550</v>
      </c>
      <c r="G5" s="1562" t="s">
        <v>551</v>
      </c>
      <c r="H5" s="477"/>
      <c r="I5" s="477"/>
      <c r="J5" s="226"/>
      <c r="K5" s="479"/>
      <c r="AF5" s="1547">
        <v>0</v>
      </c>
    </row>
    <row r="6" spans="1:32" ht="78.75">
      <c r="B6" s="1986"/>
      <c r="C6" s="1083"/>
      <c r="D6" s="1554"/>
      <c r="E6" s="482" t="str">
        <f>B2&amp;".3"</f>
        <v>.3</v>
      </c>
      <c r="F6" s="489" t="s">
        <v>552</v>
      </c>
      <c r="G6" s="1562" t="s">
        <v>551</v>
      </c>
      <c r="H6" s="477"/>
      <c r="I6" s="477"/>
      <c r="J6" s="226"/>
      <c r="K6" s="479"/>
      <c r="AF6" s="1547">
        <v>0</v>
      </c>
    </row>
    <row r="7" spans="1:32" ht="67.5">
      <c r="B7" s="1986"/>
      <c r="C7" s="1083"/>
      <c r="D7" s="1554"/>
      <c r="E7" s="482" t="str">
        <f>B2&amp;".4"</f>
        <v>.4</v>
      </c>
      <c r="F7" s="489" t="s">
        <v>553</v>
      </c>
      <c r="G7" s="1562" t="s">
        <v>545</v>
      </c>
      <c r="H7" s="491"/>
      <c r="I7" s="491"/>
      <c r="J7" s="226"/>
      <c r="K7" s="479"/>
      <c r="AF7" s="1547">
        <v>0</v>
      </c>
    </row>
    <row r="8" spans="1:32" ht="11.25">
      <c r="A8" s="910"/>
      <c r="C8" s="1552"/>
      <c r="D8" s="473"/>
      <c r="H8" s="1076">
        <v>4</v>
      </c>
      <c r="I8" s="1076">
        <v>4</v>
      </c>
      <c r="L8" s="1552"/>
      <c r="M8" s="1552"/>
      <c r="R8" s="1552"/>
      <c r="AF8" s="1076">
        <v>0</v>
      </c>
    </row>
    <row r="9" spans="1:32" ht="191.25">
      <c r="A9" s="910"/>
      <c r="C9" s="1552"/>
      <c r="D9" s="474"/>
      <c r="E9" s="1564"/>
      <c r="F9" s="476"/>
      <c r="G9" s="1562" t="s">
        <v>551</v>
      </c>
      <c r="H9" s="477"/>
      <c r="I9" s="477"/>
      <c r="J9" s="478" t="s">
        <v>554</v>
      </c>
      <c r="K9" s="479"/>
      <c r="L9" s="1552"/>
      <c r="M9" s="1552"/>
      <c r="R9" s="1552"/>
      <c r="U9" s="480"/>
      <c r="AA9" s="1548"/>
      <c r="AB9" s="1548"/>
      <c r="AC9" s="1548"/>
      <c r="AD9" s="1548"/>
      <c r="AE9" s="1548"/>
      <c r="AF9" s="1076">
        <v>0</v>
      </c>
    </row>
    <row r="10" spans="1:32" ht="11.25">
      <c r="AF10" s="1547">
        <v>0</v>
      </c>
    </row>
    <row r="11" spans="1:32" ht="123.75">
      <c r="D11" s="1554"/>
      <c r="E11" s="482"/>
      <c r="F11" s="476"/>
      <c r="G11" s="1562" t="s">
        <v>555</v>
      </c>
      <c r="H11" s="477"/>
      <c r="I11" s="477"/>
      <c r="J11" s="226" t="s">
        <v>556</v>
      </c>
      <c r="K11" s="479"/>
      <c r="AF11" s="1547">
        <v>0</v>
      </c>
    </row>
    <row r="12" spans="1:32" ht="11.25">
      <c r="AF12" s="1547">
        <v>0</v>
      </c>
    </row>
    <row r="13" spans="1:32" ht="225">
      <c r="D13" s="1554"/>
      <c r="E13" s="482"/>
      <c r="F13" s="476"/>
      <c r="G13" s="893" t="s">
        <v>557</v>
      </c>
      <c r="H13" s="481"/>
      <c r="I13" s="481"/>
      <c r="J13" s="681" t="s">
        <v>558</v>
      </c>
      <c r="K13" s="479"/>
      <c r="AF13" s="1547">
        <v>0</v>
      </c>
    </row>
    <row r="14" spans="1:32" ht="11.25">
      <c r="AF14" s="1547">
        <v>0</v>
      </c>
    </row>
    <row r="15" spans="1:32" ht="258.75">
      <c r="D15" s="1554"/>
      <c r="E15" s="482"/>
      <c r="F15" s="476"/>
      <c r="G15" s="1562" t="s">
        <v>559</v>
      </c>
      <c r="H15" s="481"/>
      <c r="I15" s="481"/>
      <c r="J15" s="226" t="s">
        <v>560</v>
      </c>
      <c r="K15" s="479"/>
      <c r="AF15" s="1547">
        <v>0</v>
      </c>
    </row>
    <row r="16" spans="1:32" ht="11.25">
      <c r="AF16" s="1547">
        <v>0</v>
      </c>
    </row>
    <row r="17" spans="1:32" ht="270">
      <c r="D17" s="1554"/>
      <c r="E17" s="482"/>
      <c r="F17" s="476"/>
      <c r="G17" s="1562" t="s">
        <v>561</v>
      </c>
      <c r="H17" s="481"/>
      <c r="I17" s="481"/>
      <c r="J17" s="226" t="s">
        <v>562</v>
      </c>
      <c r="K17" s="479"/>
      <c r="AF17" s="1547">
        <v>0</v>
      </c>
    </row>
    <row r="18" spans="1:32" ht="11.25">
      <c r="AF18" s="1547">
        <v>0</v>
      </c>
    </row>
    <row r="19" spans="1:32" ht="11.25">
      <c r="A19" s="910"/>
      <c r="B19" s="1076"/>
      <c r="C19" s="1552"/>
      <c r="D19" s="298"/>
      <c r="J19" s="1548">
        <v>4</v>
      </c>
      <c r="K19" s="1076"/>
      <c r="L19" s="1552"/>
      <c r="M19" s="1552"/>
      <c r="N19" s="1076"/>
      <c r="O19" s="1076"/>
      <c r="P19" s="1076"/>
      <c r="Q19" s="1076"/>
      <c r="R19" s="1552"/>
      <c r="S19" s="1076"/>
      <c r="T19" s="1076"/>
      <c r="U19" s="480"/>
      <c r="V19" s="1076"/>
      <c r="W19" s="1076"/>
      <c r="X19" s="1076"/>
      <c r="Y19" s="1076"/>
      <c r="Z19" s="1076"/>
      <c r="AF19" s="1548">
        <v>0</v>
      </c>
    </row>
    <row r="20" spans="1:32" ht="11.25">
      <c r="AF20" s="1547">
        <v>11</v>
      </c>
    </row>
    <row r="21" spans="1:32" ht="405">
      <c r="E21" s="198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88"/>
      <c r="G21" s="1988"/>
      <c r="H21" s="1988"/>
      <c r="I21" s="1988"/>
      <c r="J21" s="492"/>
      <c r="AF21" s="1547">
        <v>24</v>
      </c>
    </row>
    <row r="22" spans="1:32" ht="56.25">
      <c r="E22" s="1989" t="str">
        <f>IF(org=0,"Не определено",org)</f>
        <v>ООО "Пятигорсктеплосервис"</v>
      </c>
      <c r="F22" s="1989"/>
      <c r="G22" s="1989"/>
      <c r="H22" s="1989"/>
      <c r="I22" s="1989"/>
      <c r="AF22" s="1547">
        <v>24</v>
      </c>
    </row>
    <row r="23" spans="1:32" ht="11.25">
      <c r="E23" s="1052"/>
      <c r="F23" s="1052"/>
      <c r="G23" s="1052"/>
      <c r="H23" s="1052"/>
      <c r="I23" s="1052"/>
      <c r="AF23" s="1547">
        <v>11</v>
      </c>
    </row>
    <row r="24" spans="1:32" ht="11.25">
      <c r="A24" s="1083"/>
      <c r="D24" s="1558"/>
      <c r="H24" s="814"/>
      <c r="I24" s="814" t="s">
        <v>117</v>
      </c>
      <c r="AF24" s="1552">
        <v>1</v>
      </c>
    </row>
    <row r="25" spans="1:32" ht="409.5">
      <c r="E25" s="647"/>
      <c r="F25" s="1990" t="s">
        <v>105</v>
      </c>
      <c r="G25" s="1991"/>
      <c r="H25" s="1568" t="str">
        <f>IF(H24="","",INDEX(DIFFERENTIATION_UNMERGE_VD,MATCH(H24,DIFFERENTIATION_ID_DIFF,0)))</f>
        <v/>
      </c>
      <c r="I25" s="1568" t="str">
        <f>IF(I24="","",INDEX(DIFFERENTIATION_UNMERGE_VD,MATCH(I24,DIFFERENTIATION_ID_DIFF,0)))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5" s="1987"/>
      <c r="AF25" s="1547">
        <v>11</v>
      </c>
    </row>
    <row r="26" spans="1:32" ht="45">
      <c r="E26" s="647"/>
      <c r="F26" s="1990" t="s">
        <v>563</v>
      </c>
      <c r="G26" s="1991"/>
      <c r="H26" s="1568" t="str">
        <f>IF(H24="","",INDEX(DIFFERENTIATION_UNMERGE_AREA,MATCH(H24,DIFFERENTIATION_ID_DIFF,0)))</f>
        <v/>
      </c>
      <c r="I26" s="1568" t="str">
        <f>IF(I24="","",INDEX(DIFFERENTIATION_UNMERGE_AREA,MATCH(I24,DIFFERENTIATION_ID_DIFF,0)))</f>
        <v>без дифференциации</v>
      </c>
      <c r="J26" s="1987"/>
      <c r="AF26" s="1547">
        <v>11</v>
      </c>
    </row>
    <row r="27" spans="1:32" ht="56.25">
      <c r="E27" s="647"/>
      <c r="F27" s="1990" t="s">
        <v>564</v>
      </c>
      <c r="G27" s="1991"/>
      <c r="H27" s="1568" t="str">
        <f>IF(H24="","",INDEX(DIFFERENTIATION_UNMERGE_SYSTEM,MATCH(H24,DIFFERENTIATION_ID_DIFF,0)))</f>
        <v/>
      </c>
      <c r="I27" s="1568" t="str">
        <f>IF(I24="","",INDEX(DIFFERENTIATION_UNMERGE_SYSTEM,MATCH(I24,DIFFERENTIATION_ID_DIFF,0)))</f>
        <v>без дифференциации</v>
      </c>
      <c r="J27" s="1987"/>
      <c r="AF27" s="1547">
        <v>11</v>
      </c>
    </row>
    <row r="28" spans="1:32" ht="22.5">
      <c r="E28" s="1992" t="s">
        <v>299</v>
      </c>
      <c r="F28" s="1993"/>
      <c r="G28" s="1993"/>
      <c r="H28" s="1561"/>
      <c r="I28" s="1561"/>
      <c r="J28" s="1987"/>
      <c r="AF28" s="1547">
        <v>11</v>
      </c>
    </row>
    <row r="29" spans="1:32" ht="45">
      <c r="E29" s="1562" t="s">
        <v>88</v>
      </c>
      <c r="F29" s="1569" t="s">
        <v>301</v>
      </c>
      <c r="G29" s="1569" t="s">
        <v>565</v>
      </c>
      <c r="H29" s="1569" t="s">
        <v>302</v>
      </c>
      <c r="I29" s="1569" t="s">
        <v>302</v>
      </c>
      <c r="J29" s="1987"/>
      <c r="AF29" s="1547">
        <v>23</v>
      </c>
    </row>
    <row r="30" spans="1:32" ht="157.5">
      <c r="D30" s="1554"/>
      <c r="E30" s="482">
        <f>FHD_NUM_P_1</f>
        <v>1</v>
      </c>
      <c r="F30" s="1792" t="str">
        <f>FHD_P_1</f>
        <v>Выручка от регулируемого вида деятельности с распределением по видам деятельности</v>
      </c>
      <c r="G30" s="1790" t="s">
        <v>551</v>
      </c>
      <c r="H30" s="493"/>
      <c r="I30" s="493">
        <v>969935.84</v>
      </c>
      <c r="J30" s="226" t="str">
        <f>FHD_NOTE_P_1</f>
        <v>Указывается выручка от регулируемого вида деятельности с распределением по видам деятельности.</v>
      </c>
      <c r="K30" s="479"/>
      <c r="AF30" s="1547">
        <v>19</v>
      </c>
    </row>
    <row r="31" spans="1:32" ht="157.5">
      <c r="D31" s="1554"/>
      <c r="E31" s="482">
        <f>FHD_NUM_P_2</f>
        <v>2</v>
      </c>
      <c r="F31" s="1792" t="str">
        <f>FHD_P_2</f>
        <v>Себестоимость производимых товаров (оказываемых услуг) по регулируемому виду деятельности, включая:</v>
      </c>
      <c r="G31" s="1790" t="s">
        <v>551</v>
      </c>
      <c r="H31" s="494">
        <f>SUMIF($K32:$K81,$K31,H32:H81)</f>
        <v>0</v>
      </c>
      <c r="I31" s="494">
        <f>SUMIF($K32:$K81,$K31,I32:I81)</f>
        <v>952284.16121910571</v>
      </c>
      <c r="J31" s="226" t="str">
        <f>FHD_NOTE_P_2</f>
        <v>Указывается суммарная себестоимость производимых товаров.</v>
      </c>
      <c r="K31" s="1552" t="s">
        <v>566</v>
      </c>
      <c r="AF31" s="1547">
        <v>11</v>
      </c>
    </row>
    <row r="32" spans="1:32" ht="157.5">
      <c r="D32" s="1554"/>
      <c r="E32" s="482" t="str">
        <f>FHD_NUM_P_3</f>
        <v>2.1</v>
      </c>
      <c r="F32" s="1440" t="str">
        <f>FHD_P_3</f>
        <v>Расходы на приобретаемую тепловую энергию (мощность), теплоноситель</v>
      </c>
      <c r="G32" s="1790" t="s">
        <v>551</v>
      </c>
      <c r="H32" s="493"/>
      <c r="I32" s="493">
        <v>0</v>
      </c>
      <c r="J32" s="226" t="str">
        <f>FHD_NOTE_P_3</f>
        <v/>
      </c>
      <c r="K32" s="1552" t="str">
        <f t="shared" ref="K32:K39" si="0">IF((LEN(E32)-LEN(SUBSTITUTE(E32,".","")))/LEN(".")=1,"p","")</f>
        <v>p</v>
      </c>
      <c r="AF32" s="1547">
        <v>11</v>
      </c>
    </row>
    <row r="33" spans="1:32" ht="292.5">
      <c r="A33" s="1994" t="s">
        <v>567</v>
      </c>
      <c r="D33" s="1554"/>
      <c r="E33" s="482" t="str">
        <f>FHD_NUM_P_4</f>
        <v>2.2</v>
      </c>
      <c r="F33" s="144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0" t="s">
        <v>551</v>
      </c>
      <c r="H33" s="494">
        <f>SUMIF($F34:$F46,$F3,H34:H46)</f>
        <v>0</v>
      </c>
      <c r="I33" s="494">
        <f>SUMIF($F34:$F46,$F3,I34:I46)</f>
        <v>500756.19121910568</v>
      </c>
      <c r="J33" s="226" t="str">
        <f>FHD_NOTE_P_4</f>
        <v>Указываются суммарные расходы на приобретение топлива всех видов.</v>
      </c>
      <c r="K33" s="1552" t="str">
        <f t="shared" si="0"/>
        <v>p</v>
      </c>
      <c r="AF33" s="1547">
        <v>0</v>
      </c>
    </row>
    <row r="34" spans="1:32" ht="11.25">
      <c r="A34" s="1994"/>
      <c r="B34" s="1995" t="str">
        <f>E33&amp;".0"</f>
        <v>2.2.0</v>
      </c>
      <c r="C34" s="1083"/>
      <c r="D34" s="496"/>
      <c r="E34" s="497"/>
      <c r="F34" s="498"/>
      <c r="G34" s="499"/>
      <c r="H34" s="433"/>
      <c r="I34" s="433"/>
      <c r="J34" s="500"/>
      <c r="K34" s="1552" t="str">
        <f t="shared" si="0"/>
        <v/>
      </c>
      <c r="L34" s="1552"/>
      <c r="M34" s="1552"/>
      <c r="N34" s="1552"/>
      <c r="O34" s="1552"/>
      <c r="P34" s="1552"/>
      <c r="Q34" s="1552"/>
      <c r="R34" s="1552"/>
      <c r="S34" s="1552"/>
      <c r="T34" s="1552"/>
      <c r="U34" s="501"/>
      <c r="V34" s="1552"/>
      <c r="W34" s="1552"/>
      <c r="X34" s="1552"/>
      <c r="Y34" s="1552"/>
      <c r="Z34" s="1552"/>
      <c r="AA34" s="502"/>
      <c r="AB34" s="502"/>
      <c r="AC34" s="502"/>
      <c r="AD34" s="502"/>
      <c r="AE34" s="502"/>
      <c r="AF34" s="1557">
        <v>0</v>
      </c>
    </row>
    <row r="35" spans="1:32" ht="11.25">
      <c r="A35" s="1994"/>
      <c r="B35" s="1995"/>
      <c r="C35" s="1083"/>
      <c r="D35" s="496"/>
      <c r="E35" s="503"/>
      <c r="F35" s="504"/>
      <c r="G35" s="499"/>
      <c r="H35" s="505"/>
      <c r="I35" s="505"/>
      <c r="J35" s="500"/>
      <c r="K35" s="1552" t="str">
        <f t="shared" si="0"/>
        <v/>
      </c>
      <c r="L35" s="1552"/>
      <c r="M35" s="1552"/>
      <c r="N35" s="1552"/>
      <c r="O35" s="1552"/>
      <c r="P35" s="1552"/>
      <c r="Q35" s="1552"/>
      <c r="R35" s="1552"/>
      <c r="S35" s="1552"/>
      <c r="T35" s="1552"/>
      <c r="U35" s="501"/>
      <c r="V35" s="1552"/>
      <c r="W35" s="1552"/>
      <c r="X35" s="1552"/>
      <c r="Y35" s="1552"/>
      <c r="Z35" s="1552"/>
      <c r="AA35" s="502"/>
      <c r="AB35" s="502"/>
      <c r="AC35" s="502"/>
      <c r="AD35" s="502"/>
      <c r="AE35" s="502"/>
      <c r="AF35" s="1557">
        <v>0</v>
      </c>
    </row>
    <row r="36" spans="1:32" ht="11.25">
      <c r="A36" s="1994"/>
      <c r="B36" s="1995"/>
      <c r="C36" s="1083"/>
      <c r="D36" s="496"/>
      <c r="E36" s="503"/>
      <c r="F36" s="504"/>
      <c r="G36" s="499"/>
      <c r="H36" s="505"/>
      <c r="I36" s="505"/>
      <c r="J36" s="500"/>
      <c r="K36" s="1552" t="str">
        <f t="shared" si="0"/>
        <v/>
      </c>
      <c r="L36" s="1552"/>
      <c r="M36" s="1552"/>
      <c r="N36" s="1552"/>
      <c r="O36" s="1552"/>
      <c r="P36" s="1552"/>
      <c r="Q36" s="1552"/>
      <c r="R36" s="1552"/>
      <c r="S36" s="1552"/>
      <c r="T36" s="1552"/>
      <c r="U36" s="501"/>
      <c r="V36" s="1552"/>
      <c r="W36" s="1552"/>
      <c r="X36" s="1552"/>
      <c r="Y36" s="1552"/>
      <c r="Z36" s="1552"/>
      <c r="AA36" s="502"/>
      <c r="AB36" s="502"/>
      <c r="AC36" s="502"/>
      <c r="AD36" s="502"/>
      <c r="AE36" s="502"/>
      <c r="AF36" s="1557">
        <v>0</v>
      </c>
    </row>
    <row r="37" spans="1:32" ht="11.25">
      <c r="A37" s="1994"/>
      <c r="B37" s="1995"/>
      <c r="C37" s="1083"/>
      <c r="D37" s="496"/>
      <c r="E37" s="503"/>
      <c r="F37" s="504"/>
      <c r="G37" s="499"/>
      <c r="H37" s="505"/>
      <c r="I37" s="505"/>
      <c r="J37" s="500"/>
      <c r="K37" s="1552" t="str">
        <f t="shared" si="0"/>
        <v/>
      </c>
      <c r="L37" s="1552"/>
      <c r="M37" s="1552"/>
      <c r="N37" s="1552"/>
      <c r="O37" s="1552"/>
      <c r="P37" s="1552"/>
      <c r="Q37" s="1552"/>
      <c r="R37" s="1552"/>
      <c r="S37" s="1552"/>
      <c r="T37" s="1552"/>
      <c r="U37" s="501"/>
      <c r="V37" s="1552"/>
      <c r="W37" s="1552"/>
      <c r="X37" s="1552"/>
      <c r="Y37" s="1552"/>
      <c r="Z37" s="1552"/>
      <c r="AA37" s="502"/>
      <c r="AB37" s="502"/>
      <c r="AC37" s="502"/>
      <c r="AD37" s="502"/>
      <c r="AE37" s="502"/>
      <c r="AF37" s="1557">
        <v>0</v>
      </c>
    </row>
    <row r="38" spans="1:32" ht="11.25">
      <c r="A38" s="1994"/>
      <c r="B38" s="1995"/>
      <c r="C38" s="1083"/>
      <c r="D38" s="496"/>
      <c r="E38" s="503"/>
      <c r="F38" s="504"/>
      <c r="G38" s="499"/>
      <c r="H38" s="505"/>
      <c r="I38" s="505"/>
      <c r="J38" s="500"/>
      <c r="K38" s="1552" t="str">
        <f t="shared" si="0"/>
        <v/>
      </c>
      <c r="L38" s="1552"/>
      <c r="M38" s="1552"/>
      <c r="N38" s="1552"/>
      <c r="O38" s="1552"/>
      <c r="P38" s="1552"/>
      <c r="Q38" s="1552"/>
      <c r="R38" s="1552"/>
      <c r="S38" s="1552"/>
      <c r="T38" s="1552"/>
      <c r="U38" s="501"/>
      <c r="V38" s="1552"/>
      <c r="W38" s="1552"/>
      <c r="X38" s="1552"/>
      <c r="Y38" s="1552"/>
      <c r="Z38" s="1552"/>
      <c r="AA38" s="502"/>
      <c r="AB38" s="502"/>
      <c r="AC38" s="502"/>
      <c r="AD38" s="502"/>
      <c r="AE38" s="502"/>
      <c r="AF38" s="1557">
        <v>0</v>
      </c>
    </row>
    <row r="39" spans="1:32" ht="11.25">
      <c r="A39" s="1994"/>
      <c r="B39" s="1995"/>
      <c r="C39" s="1083"/>
      <c r="D39" s="496"/>
      <c r="E39" s="503"/>
      <c r="F39" s="504"/>
      <c r="G39" s="499"/>
      <c r="H39" s="433"/>
      <c r="I39" s="433"/>
      <c r="J39" s="500"/>
      <c r="K39" s="1552" t="str">
        <f t="shared" si="0"/>
        <v/>
      </c>
      <c r="L39" s="1552"/>
      <c r="M39" s="1552"/>
      <c r="N39" s="1552"/>
      <c r="O39" s="1552"/>
      <c r="P39" s="1552"/>
      <c r="Q39" s="1552"/>
      <c r="R39" s="1552"/>
      <c r="S39" s="1552"/>
      <c r="T39" s="1552"/>
      <c r="U39" s="501"/>
      <c r="V39" s="1552"/>
      <c r="W39" s="1552"/>
      <c r="X39" s="1552"/>
      <c r="Y39" s="1552"/>
      <c r="Z39" s="1552"/>
      <c r="AA39" s="502"/>
      <c r="AB39" s="502"/>
      <c r="AC39" s="502"/>
      <c r="AD39" s="502"/>
      <c r="AE39" s="502"/>
      <c r="AF39" s="1557">
        <v>0</v>
      </c>
    </row>
    <row r="40" spans="1:32" ht="292.5">
      <c r="A40" s="2012"/>
      <c r="B40" s="2013" t="str">
        <f>E33&amp;".1"</f>
        <v>2.2.1</v>
      </c>
      <c r="C40" s="2014" t="s">
        <v>544</v>
      </c>
      <c r="D40" s="2015" t="s">
        <v>568</v>
      </c>
      <c r="E40" s="2016" t="str">
        <f>B40</f>
        <v>2.2.1</v>
      </c>
      <c r="F40" s="2017" t="s">
        <v>569</v>
      </c>
      <c r="G40" s="2018" t="s">
        <v>545</v>
      </c>
      <c r="H40" s="2018" t="s">
        <v>545</v>
      </c>
      <c r="I40" s="2018" t="s">
        <v>545</v>
      </c>
      <c r="J40" s="2019" t="s">
        <v>546</v>
      </c>
      <c r="K40" s="2020"/>
      <c r="L40" s="2021"/>
      <c r="M40" s="2021"/>
      <c r="N40" s="2022"/>
      <c r="O40" s="2022"/>
      <c r="P40" s="2022"/>
      <c r="Q40" s="2022"/>
      <c r="R40" s="2021"/>
      <c r="S40" s="2022"/>
      <c r="T40" s="2022"/>
      <c r="U40" s="2023"/>
      <c r="V40" s="2022"/>
      <c r="W40" s="2022"/>
      <c r="X40" s="2022"/>
      <c r="Y40" s="2022"/>
      <c r="Z40" s="2022"/>
      <c r="AA40" s="2024"/>
      <c r="AB40" s="2024"/>
      <c r="AC40" s="2024"/>
      <c r="AD40" s="2024"/>
      <c r="AE40" s="2024"/>
      <c r="AF40" s="2025">
        <v>0</v>
      </c>
    </row>
    <row r="41" spans="1:32" ht="11.25">
      <c r="A41" s="2021"/>
      <c r="B41" s="2013" t="str">
        <f>E33&amp;".0"</f>
        <v>2.2.0</v>
      </c>
      <c r="C41" s="2014"/>
      <c r="D41" s="2014"/>
      <c r="E41" s="2026"/>
      <c r="F41" s="2027" t="s">
        <v>547</v>
      </c>
      <c r="G41" s="2028"/>
      <c r="H41" s="2028">
        <f>H42*H43+H44</f>
        <v>0</v>
      </c>
      <c r="I41" s="2028">
        <f>I42*I43+I44</f>
        <v>500756.19121910568</v>
      </c>
      <c r="J41" s="2029"/>
      <c r="K41" s="2021"/>
      <c r="L41" s="2021"/>
      <c r="M41" s="2021"/>
      <c r="N41" s="2021"/>
      <c r="O41" s="2021"/>
      <c r="P41" s="2021"/>
      <c r="Q41" s="2021"/>
      <c r="R41" s="2021"/>
      <c r="S41" s="2021"/>
      <c r="T41" s="2021"/>
      <c r="U41" s="2021"/>
      <c r="V41" s="2021"/>
      <c r="W41" s="2021"/>
      <c r="X41" s="2021"/>
      <c r="Y41" s="2021"/>
      <c r="Z41" s="2021"/>
      <c r="AA41" s="2021"/>
      <c r="AB41" s="2021"/>
      <c r="AC41" s="2021"/>
      <c r="AD41" s="2021"/>
      <c r="AE41" s="2021"/>
      <c r="AF41" s="2021">
        <v>0</v>
      </c>
    </row>
    <row r="42" spans="1:32" ht="270">
      <c r="A42" s="2012"/>
      <c r="B42" s="2013" t="str">
        <f>E33&amp;".0"</f>
        <v>2.2.0</v>
      </c>
      <c r="C42" s="2014"/>
      <c r="D42" s="2030"/>
      <c r="E42" s="2016" t="str">
        <f>B40&amp;".1"</f>
        <v>2.2.1.1</v>
      </c>
      <c r="F42" s="2031" t="s">
        <v>548</v>
      </c>
      <c r="G42" s="2032" t="s">
        <v>570</v>
      </c>
      <c r="H42" s="2033"/>
      <c r="I42" s="2033">
        <v>65171.23</v>
      </c>
      <c r="J42" s="2019" t="s">
        <v>549</v>
      </c>
      <c r="K42" s="2020"/>
      <c r="L42" s="2021"/>
      <c r="M42" s="2021"/>
      <c r="N42" s="2022"/>
      <c r="O42" s="2022"/>
      <c r="P42" s="2022"/>
      <c r="Q42" s="2022"/>
      <c r="R42" s="2021"/>
      <c r="S42" s="2022"/>
      <c r="T42" s="2022"/>
      <c r="U42" s="2023"/>
      <c r="V42" s="2022"/>
      <c r="W42" s="2022"/>
      <c r="X42" s="2022"/>
      <c r="Y42" s="2022"/>
      <c r="Z42" s="2022"/>
      <c r="AA42" s="2024"/>
      <c r="AB42" s="2024"/>
      <c r="AC42" s="2024"/>
      <c r="AD42" s="2024"/>
      <c r="AE42" s="2024"/>
      <c r="AF42" s="2025">
        <v>0</v>
      </c>
    </row>
    <row r="43" spans="1:32" ht="101.25">
      <c r="A43" s="2012"/>
      <c r="B43" s="2013" t="str">
        <f>E33&amp;".0"</f>
        <v>2.2.0</v>
      </c>
      <c r="C43" s="2014"/>
      <c r="D43" s="2030"/>
      <c r="E43" s="2016" t="str">
        <f>B40&amp;".2"</f>
        <v>2.2.1.2</v>
      </c>
      <c r="F43" s="2031" t="s">
        <v>550</v>
      </c>
      <c r="G43" s="2018" t="s">
        <v>551</v>
      </c>
      <c r="H43" s="2033"/>
      <c r="I43" s="2033">
        <v>7.6837001729000001</v>
      </c>
      <c r="J43" s="2019"/>
      <c r="K43" s="2020"/>
      <c r="L43" s="2021"/>
      <c r="M43" s="2021"/>
      <c r="N43" s="2022"/>
      <c r="O43" s="2022"/>
      <c r="P43" s="2022"/>
      <c r="Q43" s="2022"/>
      <c r="R43" s="2021"/>
      <c r="S43" s="2022"/>
      <c r="T43" s="2022"/>
      <c r="U43" s="2023"/>
      <c r="V43" s="2022"/>
      <c r="W43" s="2022"/>
      <c r="X43" s="2022"/>
      <c r="Y43" s="2022"/>
      <c r="Z43" s="2022"/>
      <c r="AA43" s="2024"/>
      <c r="AB43" s="2024"/>
      <c r="AC43" s="2024"/>
      <c r="AD43" s="2024"/>
      <c r="AE43" s="2024"/>
      <c r="AF43" s="2025">
        <v>0</v>
      </c>
    </row>
    <row r="44" spans="1:32" ht="78.75">
      <c r="A44" s="2012"/>
      <c r="B44" s="2013" t="str">
        <f>E33&amp;".0"</f>
        <v>2.2.0</v>
      </c>
      <c r="C44" s="2014"/>
      <c r="D44" s="2030"/>
      <c r="E44" s="2016" t="str">
        <f>B40&amp;".3"</f>
        <v>2.2.1.3</v>
      </c>
      <c r="F44" s="2031" t="s">
        <v>552</v>
      </c>
      <c r="G44" s="2018" t="s">
        <v>551</v>
      </c>
      <c r="H44" s="2033"/>
      <c r="I44" s="2033">
        <v>0</v>
      </c>
      <c r="J44" s="2019"/>
      <c r="K44" s="2020"/>
      <c r="L44" s="2021"/>
      <c r="M44" s="2021"/>
      <c r="N44" s="2022"/>
      <c r="O44" s="2022"/>
      <c r="P44" s="2022"/>
      <c r="Q44" s="2022"/>
      <c r="R44" s="2021"/>
      <c r="S44" s="2022"/>
      <c r="T44" s="2022"/>
      <c r="U44" s="2023"/>
      <c r="V44" s="2022"/>
      <c r="W44" s="2022"/>
      <c r="X44" s="2022"/>
      <c r="Y44" s="2022"/>
      <c r="Z44" s="2022"/>
      <c r="AA44" s="2024"/>
      <c r="AB44" s="2024"/>
      <c r="AC44" s="2024"/>
      <c r="AD44" s="2024"/>
      <c r="AE44" s="2024"/>
      <c r="AF44" s="2025">
        <v>0</v>
      </c>
    </row>
    <row r="45" spans="1:32" ht="67.5">
      <c r="A45" s="2012"/>
      <c r="B45" s="2013" t="str">
        <f>E33&amp;".0"</f>
        <v>2.2.0</v>
      </c>
      <c r="C45" s="2014"/>
      <c r="D45" s="2030"/>
      <c r="E45" s="2016" t="str">
        <f>B40&amp;".4"</f>
        <v>2.2.1.4</v>
      </c>
      <c r="F45" s="2031" t="s">
        <v>553</v>
      </c>
      <c r="G45" s="2018" t="s">
        <v>545</v>
      </c>
      <c r="H45" s="2034"/>
      <c r="I45" s="2340" t="s">
        <v>571</v>
      </c>
      <c r="J45" s="2019"/>
      <c r="K45" s="2020"/>
      <c r="L45" s="2021"/>
      <c r="M45" s="2021"/>
      <c r="N45" s="2022"/>
      <c r="O45" s="2022"/>
      <c r="P45" s="2022"/>
      <c r="Q45" s="2022"/>
      <c r="R45" s="2021"/>
      <c r="S45" s="2022"/>
      <c r="T45" s="2022"/>
      <c r="U45" s="2023"/>
      <c r="V45" s="2022"/>
      <c r="W45" s="2022"/>
      <c r="X45" s="2022"/>
      <c r="Y45" s="2022"/>
      <c r="Z45" s="2022"/>
      <c r="AA45" s="2024"/>
      <c r="AB45" s="2024"/>
      <c r="AC45" s="2024"/>
      <c r="AD45" s="2024"/>
      <c r="AE45" s="2024"/>
      <c r="AF45" s="2025">
        <v>0</v>
      </c>
    </row>
    <row r="46" spans="1:32" ht="14.25">
      <c r="A46" s="1994"/>
      <c r="C46" s="1552"/>
      <c r="D46" s="1549"/>
      <c r="E46" s="506"/>
      <c r="F46" s="507" t="s">
        <v>572</v>
      </c>
      <c r="G46" s="508"/>
      <c r="H46" s="509"/>
      <c r="I46" s="509"/>
      <c r="J46" s="238"/>
      <c r="K46" s="1552" t="str">
        <f t="shared" ref="K46:K76" si="1">IF((LEN(E46)-LEN(SUBSTITUTE(E46,".","")))/LEN(".")=1,"p","")</f>
        <v/>
      </c>
      <c r="L46" s="1552"/>
      <c r="M46" s="1552"/>
      <c r="R46" s="1552"/>
      <c r="U46" s="480"/>
      <c r="AA46" s="1548"/>
      <c r="AB46" s="1548"/>
      <c r="AC46" s="1548"/>
      <c r="AD46" s="1548"/>
      <c r="AE46" s="1548"/>
      <c r="AF46" s="1076">
        <v>0</v>
      </c>
    </row>
    <row r="47" spans="1:32" ht="19.5">
      <c r="A47" s="1994" t="s">
        <v>573</v>
      </c>
      <c r="D47" s="1554"/>
      <c r="E47" s="482" t="str">
        <f>FHD_NUM_P_5</f>
        <v/>
      </c>
      <c r="F47" s="1440" t="str">
        <f>FHD_P_5</f>
        <v/>
      </c>
      <c r="G47" s="1790" t="s">
        <v>551</v>
      </c>
      <c r="H47" s="493"/>
      <c r="I47" s="493"/>
      <c r="J47" s="226" t="str">
        <f>FHD_NOTE_P_5</f>
        <v/>
      </c>
      <c r="K47" s="1552" t="str">
        <f t="shared" si="1"/>
        <v/>
      </c>
      <c r="AF47" s="1547">
        <v>0</v>
      </c>
    </row>
    <row r="48" spans="1:32" ht="11.25">
      <c r="A48" s="1994"/>
      <c r="D48" s="1554"/>
      <c r="E48" s="482" t="str">
        <f>FHD_NUM_P_6</f>
        <v/>
      </c>
      <c r="F48" s="1440" t="str">
        <f>FHD_P_6</f>
        <v/>
      </c>
      <c r="G48" s="1790" t="s">
        <v>551</v>
      </c>
      <c r="H48" s="493"/>
      <c r="I48" s="493"/>
      <c r="J48" s="226" t="str">
        <f>FHD_NOTE_P_6</f>
        <v/>
      </c>
      <c r="K48" s="1552" t="str">
        <f t="shared" si="1"/>
        <v/>
      </c>
      <c r="AF48" s="1547">
        <v>0</v>
      </c>
    </row>
    <row r="49" spans="1:32" ht="11.25">
      <c r="A49" s="1994"/>
      <c r="D49" s="1554"/>
      <c r="E49" s="482" t="str">
        <f>FHD_NUM_P_7</f>
        <v/>
      </c>
      <c r="F49" s="1440" t="str">
        <f>FHD_P_7</f>
        <v/>
      </c>
      <c r="G49" s="1790" t="s">
        <v>551</v>
      </c>
      <c r="H49" s="493"/>
      <c r="I49" s="493"/>
      <c r="J49" s="226" t="str">
        <f>FHD_NOTE_P_7</f>
        <v/>
      </c>
      <c r="K49" s="1552" t="str">
        <f t="shared" si="1"/>
        <v/>
      </c>
      <c r="AF49" s="1547">
        <v>0</v>
      </c>
    </row>
    <row r="50" spans="1:32" ht="225">
      <c r="D50" s="1554"/>
      <c r="E50" s="482" t="str">
        <f>FHD_NUM_P_8</f>
        <v>2.3</v>
      </c>
      <c r="F50" s="1440" t="str">
        <f>FHD_P_8</f>
        <v>Расходы на приобретаемую электрическую энергию (мощность), используемую в технологическом процессе</v>
      </c>
      <c r="G50" s="1790" t="s">
        <v>551</v>
      </c>
      <c r="H50" s="493"/>
      <c r="I50" s="493">
        <v>102282.79</v>
      </c>
      <c r="J50" s="226" t="str">
        <f>FHD_NOTE_P_8</f>
        <v/>
      </c>
      <c r="K50" s="1552" t="str">
        <f t="shared" si="1"/>
        <v>p</v>
      </c>
      <c r="AF50" s="1547">
        <v>11</v>
      </c>
    </row>
    <row r="51" spans="1:32" ht="146.25">
      <c r="D51" s="1554"/>
      <c r="E51" s="482" t="str">
        <f>FHD_NUM_P_9</f>
        <v>2.3.1</v>
      </c>
      <c r="F51" s="1566" t="str">
        <f>FHD_P_9</f>
        <v>Средневзвешенная стоимость 1 кВт.ч (с учетом мощности)</v>
      </c>
      <c r="G51" s="1790" t="s">
        <v>574</v>
      </c>
      <c r="H51" s="493"/>
      <c r="I51" s="493">
        <v>6.44</v>
      </c>
      <c r="J51" s="226" t="str">
        <f>FHD_NOTE_P_9</f>
        <v/>
      </c>
      <c r="K51" s="1552" t="str">
        <f t="shared" si="1"/>
        <v/>
      </c>
      <c r="AF51" s="1547">
        <v>11</v>
      </c>
    </row>
    <row r="52" spans="1:32" ht="112.5">
      <c r="A52" s="910"/>
      <c r="C52" s="1552"/>
      <c r="D52" s="510"/>
      <c r="E52" s="482" t="str">
        <f>FHD_NUM_P_10</f>
        <v>2.3.2</v>
      </c>
      <c r="F52" s="1566" t="str">
        <f>FHD_P_10</f>
        <v>Объём приобретения электрической энергии</v>
      </c>
      <c r="G52" s="1790" t="s">
        <v>575</v>
      </c>
      <c r="H52" s="493"/>
      <c r="I52" s="493">
        <v>15877.07</v>
      </c>
      <c r="J52" s="226" t="str">
        <f>FHD_NOTE_P_10</f>
        <v/>
      </c>
      <c r="K52" s="1552" t="str">
        <f t="shared" si="1"/>
        <v/>
      </c>
      <c r="L52" s="1552"/>
      <c r="M52" s="1552"/>
      <c r="R52" s="1552"/>
      <c r="U52" s="480"/>
      <c r="AA52" s="1548"/>
      <c r="AB52" s="1548"/>
      <c r="AC52" s="1548"/>
      <c r="AD52" s="1548"/>
      <c r="AE52" s="1548"/>
      <c r="AF52" s="1076">
        <v>11</v>
      </c>
    </row>
    <row r="53" spans="1:32" ht="157.5">
      <c r="A53" s="912" t="s">
        <v>576</v>
      </c>
      <c r="C53" s="1552"/>
      <c r="D53" s="511"/>
      <c r="E53" s="482" t="str">
        <f>FHD_NUM_P_11</f>
        <v>2.4</v>
      </c>
      <c r="F53" s="1440" t="str">
        <f>FHD_P_11</f>
        <v>Расходы на приобретение холодной воды, используемой в технологическом процессе</v>
      </c>
      <c r="G53" s="1790" t="s">
        <v>551</v>
      </c>
      <c r="H53" s="493"/>
      <c r="I53" s="493">
        <v>5227.49</v>
      </c>
      <c r="J53" s="226" t="str">
        <f>FHD_NOTE_P_11</f>
        <v/>
      </c>
      <c r="K53" s="1552" t="str">
        <f t="shared" si="1"/>
        <v>p</v>
      </c>
      <c r="L53" s="1552"/>
      <c r="M53" s="1552"/>
      <c r="R53" s="1552"/>
      <c r="U53" s="480"/>
      <c r="AA53" s="1548"/>
      <c r="AB53" s="1548"/>
      <c r="AC53" s="1548"/>
      <c r="AD53" s="1548"/>
      <c r="AE53" s="1548"/>
      <c r="AF53" s="1076">
        <v>0</v>
      </c>
    </row>
    <row r="54" spans="1:32" ht="157.5">
      <c r="A54" s="912" t="s">
        <v>577</v>
      </c>
      <c r="C54" s="1552"/>
      <c r="D54" s="1554"/>
      <c r="E54" s="482" t="str">
        <f>FHD_NUM_P_12</f>
        <v>2.5</v>
      </c>
      <c r="F54" s="1440" t="str">
        <f>FHD_P_12</f>
        <v>Расходы на  химические реагенты, используемые в технологическом процессе</v>
      </c>
      <c r="G54" s="1790" t="s">
        <v>551</v>
      </c>
      <c r="H54" s="513"/>
      <c r="I54" s="513">
        <v>733.8</v>
      </c>
      <c r="J54" s="226" t="str">
        <f>FHD_NOTE_P_12</f>
        <v/>
      </c>
      <c r="K54" s="1552" t="str">
        <f t="shared" si="1"/>
        <v>p</v>
      </c>
      <c r="L54" s="1552"/>
      <c r="M54" s="1552"/>
      <c r="R54" s="1552"/>
      <c r="U54" s="480"/>
      <c r="AA54" s="1548"/>
      <c r="AB54" s="1548"/>
      <c r="AC54" s="1548"/>
      <c r="AD54" s="1548"/>
      <c r="AE54" s="1548"/>
      <c r="AF54" s="1076">
        <v>18</v>
      </c>
    </row>
    <row r="55" spans="1:32" ht="326.25">
      <c r="A55" s="911"/>
      <c r="C55" s="666"/>
      <c r="D55" s="609"/>
      <c r="E55" s="482" t="str">
        <f>FHD_NUM_P_13</f>
        <v>2.6</v>
      </c>
      <c r="F55" s="144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0" t="s">
        <v>551</v>
      </c>
      <c r="H55" s="493"/>
      <c r="I55" s="493">
        <v>253670.05</v>
      </c>
      <c r="J55" s="226" t="str">
        <f>FHD_NOTE_P_13</f>
        <v/>
      </c>
      <c r="K55" s="1552" t="str">
        <f t="shared" si="1"/>
        <v>p</v>
      </c>
      <c r="L55" s="666"/>
      <c r="M55" s="666"/>
      <c r="R55" s="666"/>
      <c r="U55" s="667"/>
      <c r="AA55" s="668"/>
      <c r="AB55" s="668"/>
      <c r="AC55" s="668"/>
      <c r="AD55" s="668"/>
      <c r="AE55" s="668"/>
      <c r="AF55" s="665">
        <v>11</v>
      </c>
    </row>
    <row r="56" spans="1:32" ht="146.25">
      <c r="A56" s="911"/>
      <c r="C56" s="666"/>
      <c r="D56" s="609"/>
      <c r="E56" s="482" t="str">
        <f>FHD_NUM_P_14</f>
        <v>2.6.1</v>
      </c>
      <c r="F56" s="1566" t="str">
        <f>FHD_P_14</f>
        <v>Расходы на оплату труда основного производственного персонала</v>
      </c>
      <c r="G56" s="1790" t="s">
        <v>551</v>
      </c>
      <c r="H56" s="493"/>
      <c r="I56" s="493">
        <v>155592.49</v>
      </c>
      <c r="J56" s="226" t="str">
        <f>FHD_NOTE_P_14</f>
        <v/>
      </c>
      <c r="K56" s="1552" t="str">
        <f t="shared" si="1"/>
        <v/>
      </c>
      <c r="L56" s="666"/>
      <c r="M56" s="666"/>
      <c r="R56" s="666"/>
      <c r="U56" s="667"/>
      <c r="AA56" s="668"/>
      <c r="AB56" s="668"/>
      <c r="AC56" s="668"/>
      <c r="AD56" s="668"/>
      <c r="AE56" s="668"/>
      <c r="AF56" s="665">
        <v>11</v>
      </c>
    </row>
    <row r="57" spans="1:32" ht="337.5">
      <c r="A57" s="911"/>
      <c r="C57" s="666"/>
      <c r="D57" s="609"/>
      <c r="E57" s="482" t="str">
        <f>FHD_NUM_P_15</f>
        <v>2.6.2</v>
      </c>
      <c r="F57" s="1566" t="str">
        <f>FHD_P_15</f>
        <v>Страховые взносы на обязательное социальное страхование, выплачиваемые из фонда оплаты труда основного производственного персонала</v>
      </c>
      <c r="G57" s="1790" t="s">
        <v>551</v>
      </c>
      <c r="H57" s="493"/>
      <c r="I57" s="493">
        <v>46728.3</v>
      </c>
      <c r="J57" s="226" t="str">
        <f>FHD_NOTE_P_15</f>
        <v/>
      </c>
      <c r="K57" s="1552" t="str">
        <f t="shared" si="1"/>
        <v/>
      </c>
      <c r="L57" s="666"/>
      <c r="M57" s="666"/>
      <c r="R57" s="666"/>
      <c r="U57" s="667"/>
      <c r="AA57" s="668"/>
      <c r="AB57" s="668"/>
      <c r="AC57" s="668"/>
      <c r="AD57" s="668"/>
      <c r="AE57" s="668"/>
      <c r="AF57" s="665">
        <v>11</v>
      </c>
    </row>
    <row r="58" spans="1:32" ht="337.5">
      <c r="A58" s="910"/>
      <c r="C58" s="1552"/>
      <c r="D58" s="1554"/>
      <c r="E58" s="482" t="str">
        <f>FHD_NUM_P_16</f>
        <v>2.7</v>
      </c>
      <c r="F58" s="144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0" t="s">
        <v>551</v>
      </c>
      <c r="H58" s="493"/>
      <c r="I58" s="493">
        <v>0</v>
      </c>
      <c r="J58" s="226" t="str">
        <f>FHD_NOTE_P_16</f>
        <v/>
      </c>
      <c r="K58" s="1552" t="str">
        <f t="shared" si="1"/>
        <v>p</v>
      </c>
      <c r="L58" s="1552"/>
      <c r="M58" s="1558"/>
      <c r="N58" s="473"/>
      <c r="O58" s="473"/>
      <c r="R58" s="1552"/>
      <c r="U58" s="480"/>
      <c r="AA58" s="1548"/>
      <c r="AB58" s="1548"/>
      <c r="AC58" s="1548"/>
      <c r="AD58" s="1548"/>
      <c r="AE58" s="1548"/>
      <c r="AF58" s="1076">
        <v>11</v>
      </c>
    </row>
    <row r="59" spans="1:32" ht="168.75">
      <c r="A59" s="910"/>
      <c r="C59" s="1552"/>
      <c r="D59" s="1554"/>
      <c r="E59" s="482" t="str">
        <f>FHD_NUM_P_17</f>
        <v>2.7.1</v>
      </c>
      <c r="F59" s="1566" t="str">
        <f>FHD_P_17</f>
        <v>Расходы на оплату труда административно-управленческого персонала</v>
      </c>
      <c r="G59" s="1790" t="s">
        <v>551</v>
      </c>
      <c r="H59" s="493"/>
      <c r="I59" s="493">
        <v>39874.76</v>
      </c>
      <c r="J59" s="226" t="str">
        <f>FHD_NOTE_P_17</f>
        <v/>
      </c>
      <c r="K59" s="1552" t="str">
        <f t="shared" si="1"/>
        <v/>
      </c>
      <c r="L59" s="1552"/>
      <c r="M59" s="1558"/>
      <c r="N59" s="473"/>
      <c r="O59" s="473"/>
      <c r="R59" s="1552"/>
      <c r="U59" s="480"/>
      <c r="AA59" s="1548"/>
      <c r="AB59" s="1548"/>
      <c r="AC59" s="1548"/>
      <c r="AD59" s="1548"/>
      <c r="AE59" s="1548"/>
      <c r="AF59" s="1076">
        <v>11</v>
      </c>
    </row>
    <row r="60" spans="1:32" ht="360">
      <c r="A60" s="910"/>
      <c r="C60" s="1552"/>
      <c r="D60" s="1554"/>
      <c r="E60" s="482" t="str">
        <f>FHD_NUM_P_18</f>
        <v>2.7.2</v>
      </c>
      <c r="F60" s="1566"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0" t="s">
        <v>551</v>
      </c>
      <c r="H60" s="493"/>
      <c r="I60" s="493">
        <v>11474.5</v>
      </c>
      <c r="J60" s="226" t="str">
        <f>FHD_NOTE_P_18</f>
        <v/>
      </c>
      <c r="K60" s="1552" t="str">
        <f t="shared" si="1"/>
        <v/>
      </c>
      <c r="L60" s="1552"/>
      <c r="M60" s="1558"/>
      <c r="N60" s="473"/>
      <c r="O60" s="473"/>
      <c r="R60" s="1552"/>
      <c r="U60" s="480"/>
      <c r="AA60" s="1548"/>
      <c r="AB60" s="1548"/>
      <c r="AC60" s="1548"/>
      <c r="AD60" s="1548"/>
      <c r="AE60" s="1548"/>
      <c r="AF60" s="1076">
        <v>11</v>
      </c>
    </row>
    <row r="61" spans="1:32" ht="135">
      <c r="A61" s="910"/>
      <c r="C61" s="1552"/>
      <c r="D61" s="511"/>
      <c r="E61" s="482" t="str">
        <f>FHD_NUM_P_19</f>
        <v>2.8</v>
      </c>
      <c r="F61" s="1440" t="str">
        <f>FHD_P_19</f>
        <v>Расходы на амортизацию основных средств и нематериальных активов</v>
      </c>
      <c r="G61" s="1790" t="s">
        <v>551</v>
      </c>
      <c r="H61" s="493"/>
      <c r="I61" s="493">
        <v>4266.4399999999996</v>
      </c>
      <c r="J61" s="226" t="str">
        <f>FHD_NOTE_P_19</f>
        <v/>
      </c>
      <c r="K61" s="1552" t="str">
        <f t="shared" si="1"/>
        <v>p</v>
      </c>
      <c r="L61" s="1552"/>
      <c r="M61" s="1552"/>
      <c r="R61" s="1552"/>
      <c r="U61" s="480"/>
      <c r="AA61" s="1548"/>
      <c r="AB61" s="1548"/>
      <c r="AC61" s="1548"/>
      <c r="AD61" s="1548"/>
      <c r="AE61" s="1548"/>
      <c r="AF61" s="1076">
        <v>11</v>
      </c>
    </row>
    <row r="62" spans="1:32" ht="101.25">
      <c r="A62" s="910"/>
      <c r="C62" s="1552"/>
      <c r="D62" s="511"/>
      <c r="E62" s="482" t="str">
        <f>FHD_NUM_P_20</f>
        <v>2.8.1</v>
      </c>
      <c r="F62" s="1566" t="str">
        <f>FHD_P_20</f>
        <v>Расходы на амортизацию основных средств</v>
      </c>
      <c r="G62" s="1790" t="s">
        <v>551</v>
      </c>
      <c r="H62" s="493"/>
      <c r="I62" s="493">
        <v>4266.4399999999996</v>
      </c>
      <c r="J62" s="226" t="str">
        <f>FHD_NOTE_P_20</f>
        <v/>
      </c>
      <c r="K62" s="1552" t="str">
        <f t="shared" si="1"/>
        <v/>
      </c>
      <c r="L62" s="1552"/>
      <c r="M62" s="1552"/>
      <c r="R62" s="1552"/>
      <c r="U62" s="480"/>
      <c r="AA62" s="1548"/>
      <c r="AB62" s="1548"/>
      <c r="AC62" s="1548"/>
      <c r="AD62" s="1548"/>
      <c r="AE62" s="1548"/>
      <c r="AF62" s="1076">
        <v>11</v>
      </c>
    </row>
    <row r="63" spans="1:32" ht="123.75">
      <c r="A63" s="910"/>
      <c r="C63" s="1552"/>
      <c r="D63" s="511"/>
      <c r="E63" s="482" t="str">
        <f>FHD_NUM_P_21</f>
        <v>2.8.2</v>
      </c>
      <c r="F63" s="1566" t="str">
        <f>FHD_P_21</f>
        <v>Расходы на амортизацию нематериальных активов</v>
      </c>
      <c r="G63" s="1790" t="s">
        <v>551</v>
      </c>
      <c r="H63" s="493"/>
      <c r="I63" s="493">
        <v>0</v>
      </c>
      <c r="J63" s="226" t="str">
        <f>FHD_NOTE_P_21</f>
        <v/>
      </c>
      <c r="K63" s="1552" t="str">
        <f t="shared" si="1"/>
        <v/>
      </c>
      <c r="L63" s="1552"/>
      <c r="M63" s="1552"/>
      <c r="R63" s="1552"/>
      <c r="U63" s="480"/>
      <c r="AA63" s="1548"/>
      <c r="AB63" s="1548"/>
      <c r="AC63" s="1548"/>
      <c r="AD63" s="1548"/>
      <c r="AE63" s="1548"/>
      <c r="AF63" s="1076">
        <v>11</v>
      </c>
    </row>
    <row r="64" spans="1:32" ht="180">
      <c r="A64" s="910"/>
      <c r="C64" s="1552"/>
      <c r="D64" s="1554"/>
      <c r="E64" s="482" t="str">
        <f>FHD_NUM_P_22</f>
        <v>2.9</v>
      </c>
      <c r="F64" s="1440" t="str">
        <f>FHD_P_22</f>
        <v>Расходы на аренду имущества, используемого для осуществления регулируемого вида деятельности</v>
      </c>
      <c r="G64" s="1790" t="s">
        <v>551</v>
      </c>
      <c r="H64" s="493"/>
      <c r="I64" s="493">
        <v>28082.95</v>
      </c>
      <c r="J64" s="226" t="str">
        <f>FHD_NOTE_P_22</f>
        <v/>
      </c>
      <c r="K64" s="1552" t="str">
        <f t="shared" si="1"/>
        <v>p</v>
      </c>
      <c r="L64" s="1552"/>
      <c r="M64" s="1552"/>
      <c r="R64" s="1552"/>
      <c r="U64" s="480"/>
      <c r="AA64" s="1548"/>
      <c r="AB64" s="1548"/>
      <c r="AC64" s="1548"/>
      <c r="AD64" s="1548"/>
      <c r="AE64" s="1548"/>
      <c r="AF64" s="1076">
        <v>11</v>
      </c>
    </row>
    <row r="65" spans="1:32" ht="90">
      <c r="A65" s="910"/>
      <c r="C65" s="1552"/>
      <c r="D65" s="511"/>
      <c r="E65" s="482" t="str">
        <f>FHD_NUM_P_23</f>
        <v>2.10</v>
      </c>
      <c r="F65" s="1440" t="str">
        <f>FHD_P_23</f>
        <v>Общепроизводственные расходы, в том числе:</v>
      </c>
      <c r="G65" s="1790" t="s">
        <v>551</v>
      </c>
      <c r="H65" s="493"/>
      <c r="I65" s="493">
        <v>0</v>
      </c>
      <c r="J65" s="226" t="str">
        <f>FHD_NOTE_P_23</f>
        <v>Указывается общая сумма общепроизводственных расходов.</v>
      </c>
      <c r="K65" s="1552" t="str">
        <f t="shared" si="1"/>
        <v>p</v>
      </c>
      <c r="L65" s="1552"/>
      <c r="M65" s="1552"/>
      <c r="R65" s="1552"/>
      <c r="U65" s="480"/>
      <c r="AA65" s="1548"/>
      <c r="AB65" s="1548"/>
      <c r="AC65" s="1548"/>
      <c r="AD65" s="1548"/>
      <c r="AE65" s="1548"/>
      <c r="AF65" s="1076">
        <v>11</v>
      </c>
    </row>
    <row r="66" spans="1:32" ht="135">
      <c r="A66" s="910"/>
      <c r="C66" s="1552"/>
      <c r="D66" s="511"/>
      <c r="E66" s="482" t="str">
        <f>FHD_NUM_P_24</f>
        <v>2.10.1</v>
      </c>
      <c r="F66" s="1566" t="str">
        <f>FHD_P_24</f>
        <v>Расходы на текущий ремонт</v>
      </c>
      <c r="G66" s="1790" t="s">
        <v>551</v>
      </c>
      <c r="H66" s="493"/>
      <c r="I66" s="493">
        <v>0</v>
      </c>
      <c r="J66" s="226" t="str">
        <f>FHD_NOTE_P_24</f>
        <v>Указываются расходы на текущий ремонт, отнесенные к общепроизводственным расходам.</v>
      </c>
      <c r="K66" s="1552" t="str">
        <f t="shared" si="1"/>
        <v/>
      </c>
      <c r="L66" s="1552"/>
      <c r="M66" s="1552"/>
      <c r="R66" s="1552"/>
      <c r="U66" s="480"/>
      <c r="AA66" s="1548"/>
      <c r="AB66" s="1548"/>
      <c r="AC66" s="1548"/>
      <c r="AD66" s="1548"/>
      <c r="AE66" s="1548"/>
      <c r="AF66" s="1076">
        <v>11</v>
      </c>
    </row>
    <row r="67" spans="1:32" ht="146.25">
      <c r="A67" s="910"/>
      <c r="C67" s="1552"/>
      <c r="D67" s="511"/>
      <c r="E67" s="482" t="str">
        <f>FHD_NUM_P_25</f>
        <v>2.10.2</v>
      </c>
      <c r="F67" s="1566" t="str">
        <f>FHD_P_25</f>
        <v>Расходы на капитальный ремонт</v>
      </c>
      <c r="G67" s="1790" t="s">
        <v>551</v>
      </c>
      <c r="H67" s="493"/>
      <c r="I67" s="493">
        <v>0</v>
      </c>
      <c r="J67" s="226" t="str">
        <f>FHD_NOTE_P_25</f>
        <v>Указываются расходы на капитальный ремонт, отнесенные к общепроизводственным расходам.</v>
      </c>
      <c r="K67" s="1552" t="str">
        <f t="shared" si="1"/>
        <v/>
      </c>
      <c r="L67" s="1552"/>
      <c r="M67" s="1552"/>
      <c r="R67" s="1552"/>
      <c r="U67" s="480"/>
      <c r="AA67" s="1548"/>
      <c r="AB67" s="1548"/>
      <c r="AC67" s="1548"/>
      <c r="AD67" s="1548"/>
      <c r="AE67" s="1548"/>
      <c r="AF67" s="1076">
        <v>11</v>
      </c>
    </row>
    <row r="68" spans="1:32" ht="78.75">
      <c r="A68" s="910"/>
      <c r="C68" s="1552"/>
      <c r="D68" s="1554"/>
      <c r="E68" s="482" t="str">
        <f>FHD_NUM_P_26</f>
        <v>2.11</v>
      </c>
      <c r="F68" s="1440" t="str">
        <f>FHD_P_26</f>
        <v>Общехозяйственные расходы, в том числе:</v>
      </c>
      <c r="G68" s="1790" t="s">
        <v>551</v>
      </c>
      <c r="H68" s="493"/>
      <c r="I68" s="493">
        <v>17394.21</v>
      </c>
      <c r="J68" s="226" t="str">
        <f>FHD_NOTE_P_26</f>
        <v>Указывается общая сумма общехозяйственных расходов.</v>
      </c>
      <c r="K68" s="1552" t="str">
        <f t="shared" si="1"/>
        <v>p</v>
      </c>
      <c r="L68" s="1552"/>
      <c r="M68" s="1552"/>
      <c r="R68" s="1552"/>
      <c r="U68" s="480"/>
      <c r="AA68" s="1548"/>
      <c r="AB68" s="1548"/>
      <c r="AC68" s="1548"/>
      <c r="AD68" s="1548"/>
      <c r="AE68" s="1548"/>
      <c r="AF68" s="1076">
        <v>11</v>
      </c>
    </row>
    <row r="69" spans="1:32" ht="135">
      <c r="A69" s="910"/>
      <c r="C69" s="1552"/>
      <c r="D69" s="1554"/>
      <c r="E69" s="482" t="str">
        <f>FHD_NUM_P_27</f>
        <v>2.11.1</v>
      </c>
      <c r="F69" s="1566" t="str">
        <f>FHD_P_27</f>
        <v>Расходы на текущий ремонт</v>
      </c>
      <c r="G69" s="1790" t="s">
        <v>551</v>
      </c>
      <c r="H69" s="493"/>
      <c r="I69" s="493">
        <v>0</v>
      </c>
      <c r="J69" s="226" t="str">
        <f>FHD_NOTE_P_27</f>
        <v>Указываются расходы на текущий ремонт, отнесенные к общехозяйственным расходам.</v>
      </c>
      <c r="K69" s="1552" t="str">
        <f t="shared" si="1"/>
        <v/>
      </c>
      <c r="L69" s="1552"/>
      <c r="M69" s="1552"/>
      <c r="R69" s="1552"/>
      <c r="U69" s="480"/>
      <c r="AA69" s="1548"/>
      <c r="AB69" s="1548"/>
      <c r="AC69" s="1548"/>
      <c r="AD69" s="1548"/>
      <c r="AE69" s="1548"/>
      <c r="AF69" s="1076">
        <v>11</v>
      </c>
    </row>
    <row r="70" spans="1:32" ht="146.25">
      <c r="A70" s="910"/>
      <c r="C70" s="1552"/>
      <c r="D70" s="1554"/>
      <c r="E70" s="482" t="str">
        <f>FHD_NUM_P_28</f>
        <v>2.11.2</v>
      </c>
      <c r="F70" s="1566" t="str">
        <f>FHD_P_28</f>
        <v>Расходы на капитальный ремонт</v>
      </c>
      <c r="G70" s="1790" t="s">
        <v>551</v>
      </c>
      <c r="H70" s="493"/>
      <c r="I70" s="493">
        <v>0</v>
      </c>
      <c r="J70" s="226" t="str">
        <f>FHD_NOTE_P_28</f>
        <v>Указываются расходы на капитальный ремонт, отнесенные к общехозяйственным расходам.</v>
      </c>
      <c r="K70" s="1552" t="str">
        <f t="shared" si="1"/>
        <v/>
      </c>
      <c r="L70" s="1552"/>
      <c r="M70" s="1552"/>
      <c r="R70" s="1552"/>
      <c r="U70" s="480"/>
      <c r="AA70" s="1548"/>
      <c r="AB70" s="1548"/>
      <c r="AC70" s="1548"/>
      <c r="AD70" s="1548"/>
      <c r="AE70" s="1548"/>
      <c r="AF70" s="1076">
        <v>11</v>
      </c>
    </row>
    <row r="71" spans="1:32" ht="303.75">
      <c r="A71" s="910"/>
      <c r="C71" s="1552"/>
      <c r="D71" s="1554"/>
      <c r="E71" s="482" t="str">
        <f>FHD_NUM_P_29</f>
        <v>2.12</v>
      </c>
      <c r="F71" s="1440" t="str">
        <f>FHD_P_29</f>
        <v>Расходы на капитальный и текущий ремонт основных средств</v>
      </c>
      <c r="G71" s="1790" t="s">
        <v>551</v>
      </c>
      <c r="H71" s="493"/>
      <c r="I71" s="493">
        <v>26719.31</v>
      </c>
      <c r="J71"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52" t="str">
        <f t="shared" si="1"/>
        <v>p</v>
      </c>
      <c r="L71" s="1552"/>
      <c r="M71" s="1552"/>
      <c r="R71" s="1552"/>
      <c r="U71" s="480"/>
      <c r="AA71" s="1548"/>
      <c r="AB71" s="1548"/>
      <c r="AC71" s="1548"/>
      <c r="AD71" s="1548"/>
      <c r="AE71" s="1548"/>
      <c r="AF71" s="1076">
        <v>11</v>
      </c>
    </row>
    <row r="72" spans="1:32" ht="409.5">
      <c r="A72" s="910"/>
      <c r="C72" s="1552"/>
      <c r="D72" s="1554"/>
      <c r="E72" s="482" t="str">
        <f>FHD_NUM_P_30</f>
        <v>2.12.1</v>
      </c>
      <c r="F72" s="156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0" t="s">
        <v>305</v>
      </c>
      <c r="H72" s="1565" t="s">
        <v>578</v>
      </c>
      <c r="I72" s="1565" t="s">
        <v>578</v>
      </c>
      <c r="J72" s="226" t="str">
        <f>FHD_NOTE_P_30</f>
        <v/>
      </c>
      <c r="K72" s="1552" t="str">
        <f t="shared" si="1"/>
        <v/>
      </c>
      <c r="L72" s="1552">
        <f>IFERROR(MATCH("есть",B_FHD_FLAG_INDEX_1,0),0)</f>
        <v>0</v>
      </c>
      <c r="M72" s="1552"/>
      <c r="R72" s="1552"/>
      <c r="U72" s="480"/>
      <c r="AA72" s="1548"/>
      <c r="AB72" s="1548"/>
      <c r="AC72" s="1548"/>
      <c r="AD72" s="1548"/>
      <c r="AE72" s="1548"/>
      <c r="AF72" s="1076">
        <v>11</v>
      </c>
    </row>
    <row r="73" spans="1:32" ht="23.25">
      <c r="A73" s="1994" t="s">
        <v>579</v>
      </c>
      <c r="C73" s="1552"/>
      <c r="D73" s="1554"/>
      <c r="E73" s="482" t="str">
        <f>FHD_NUM_P_31</f>
        <v/>
      </c>
      <c r="F73" s="1440" t="str">
        <f>FHD_P_31</f>
        <v/>
      </c>
      <c r="G73" s="1790" t="s">
        <v>551</v>
      </c>
      <c r="H73" s="493"/>
      <c r="I73" s="493"/>
      <c r="J73" s="226" t="str">
        <f>FHD_NOTE_P_31</f>
        <v/>
      </c>
      <c r="K73" s="1552" t="str">
        <f t="shared" si="1"/>
        <v/>
      </c>
      <c r="L73" s="1552"/>
      <c r="M73" s="1552"/>
      <c r="R73" s="1552"/>
      <c r="U73" s="480"/>
      <c r="AA73" s="1548"/>
      <c r="AB73" s="1548"/>
      <c r="AC73" s="1548"/>
      <c r="AD73" s="1548"/>
      <c r="AE73" s="1548"/>
      <c r="AF73" s="1076">
        <v>22</v>
      </c>
    </row>
    <row r="74" spans="1:32" ht="22.5">
      <c r="A74" s="1994"/>
      <c r="C74" s="1552"/>
      <c r="D74" s="1554"/>
      <c r="E74" s="482" t="str">
        <f>FHD_NUM_P_32</f>
        <v/>
      </c>
      <c r="F74" s="1566" t="str">
        <f>FHD_P_32</f>
        <v/>
      </c>
      <c r="G74" s="1790" t="s">
        <v>305</v>
      </c>
      <c r="H74" s="1565" t="s">
        <v>578</v>
      </c>
      <c r="I74" s="1565" t="s">
        <v>578</v>
      </c>
      <c r="J74" s="226" t="str">
        <f>FHD_NOTE_P_32</f>
        <v/>
      </c>
      <c r="K74" s="1552" t="str">
        <f t="shared" si="1"/>
        <v/>
      </c>
      <c r="L74" s="1552">
        <f>IFERROR(MATCH("есть",B_FHD_FLAG_INDEX_2,0),0)</f>
        <v>0</v>
      </c>
      <c r="M74" s="1552"/>
      <c r="R74" s="1552"/>
      <c r="U74" s="480"/>
      <c r="AA74" s="1548"/>
      <c r="AB74" s="1548"/>
      <c r="AC74" s="1548"/>
      <c r="AD74" s="1548"/>
      <c r="AE74" s="1548"/>
      <c r="AF74" s="1076">
        <v>45</v>
      </c>
    </row>
    <row r="75" spans="1:32" ht="270">
      <c r="A75" s="910"/>
      <c r="C75" s="1552"/>
      <c r="D75" s="1554"/>
      <c r="E75" s="482" t="str">
        <f>FHD_NUM_P_33</f>
        <v>2.13</v>
      </c>
      <c r="F75" s="1440" t="str">
        <f>FHD_P_33</f>
        <v>Прочие расходы, которые подлежат отнесению на регулируемые виды деятельности в соответствии с законодательством Российской Федерации</v>
      </c>
      <c r="G75" s="1791" t="s">
        <v>551</v>
      </c>
      <c r="H75" s="515">
        <f>SUM(H76:H81)</f>
        <v>0</v>
      </c>
      <c r="I75" s="515">
        <f>SUM(I76:I81)</f>
        <v>13150.93</v>
      </c>
      <c r="J75"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52" t="str">
        <f t="shared" si="1"/>
        <v>p</v>
      </c>
      <c r="L75" s="1552"/>
      <c r="M75" s="1552"/>
      <c r="R75" s="1552"/>
      <c r="U75" s="480"/>
      <c r="AA75" s="1548"/>
      <c r="AB75" s="1548"/>
      <c r="AC75" s="1548"/>
      <c r="AD75" s="1548"/>
      <c r="AE75" s="1548"/>
      <c r="AF75" s="1076">
        <v>11</v>
      </c>
    </row>
    <row r="76" spans="1:32" ht="11.25">
      <c r="A76" s="1083"/>
      <c r="D76" s="484"/>
      <c r="E76" s="935" t="str">
        <f>E75&amp;".0"</f>
        <v>2.13.0</v>
      </c>
      <c r="F76" s="914"/>
      <c r="G76" s="935"/>
      <c r="H76" s="915"/>
      <c r="I76" s="915"/>
      <c r="J76" s="916"/>
      <c r="K76" s="1552" t="str">
        <f t="shared" si="1"/>
        <v/>
      </c>
      <c r="AF76" s="1552">
        <v>1</v>
      </c>
    </row>
    <row r="77" spans="1:32" ht="191.25">
      <c r="A77" s="2267"/>
      <c r="B77" s="2268"/>
      <c r="C77" s="2269"/>
      <c r="D77" s="2270" t="s">
        <v>568</v>
      </c>
      <c r="E77" s="2271" t="str">
        <f>E75&amp;".1"</f>
        <v>2.13.1</v>
      </c>
      <c r="F77" s="2272" t="s">
        <v>580</v>
      </c>
      <c r="G77" s="2271" t="s">
        <v>551</v>
      </c>
      <c r="H77" s="2273"/>
      <c r="I77" s="2273">
        <v>273.91000000000003</v>
      </c>
      <c r="J77" s="2274" t="s">
        <v>554</v>
      </c>
      <c r="K77" s="2275"/>
      <c r="L77" s="2269"/>
      <c r="M77" s="2269"/>
      <c r="N77" s="2268"/>
      <c r="O77" s="2268"/>
      <c r="P77" s="2268"/>
      <c r="Q77" s="2268"/>
      <c r="R77" s="2269"/>
      <c r="S77" s="2268"/>
      <c r="T77" s="2268"/>
      <c r="U77" s="2276"/>
      <c r="V77" s="2268"/>
      <c r="W77" s="2268"/>
      <c r="X77" s="2268"/>
      <c r="Y77" s="2268"/>
      <c r="Z77" s="2268"/>
      <c r="AA77" s="2277"/>
      <c r="AB77" s="2277"/>
      <c r="AC77" s="2277"/>
      <c r="AD77" s="2277"/>
      <c r="AE77" s="2277"/>
      <c r="AF77" s="2268">
        <v>0</v>
      </c>
    </row>
    <row r="78" spans="1:32" ht="191.25">
      <c r="A78" s="2267"/>
      <c r="B78" s="2268"/>
      <c r="C78" s="2269"/>
      <c r="D78" s="2270" t="s">
        <v>568</v>
      </c>
      <c r="E78" s="2271" t="str">
        <f>E75&amp;".2"</f>
        <v>2.13.2</v>
      </c>
      <c r="F78" s="2272" t="s">
        <v>581</v>
      </c>
      <c r="G78" s="2271" t="s">
        <v>551</v>
      </c>
      <c r="H78" s="2273"/>
      <c r="I78" s="2273">
        <v>9634.64</v>
      </c>
      <c r="J78" s="2274" t="s">
        <v>554</v>
      </c>
      <c r="K78" s="2275"/>
      <c r="L78" s="2269"/>
      <c r="M78" s="2269"/>
      <c r="N78" s="2268"/>
      <c r="O78" s="2268"/>
      <c r="P78" s="2268"/>
      <c r="Q78" s="2268"/>
      <c r="R78" s="2269"/>
      <c r="S78" s="2268"/>
      <c r="T78" s="2268"/>
      <c r="U78" s="2276"/>
      <c r="V78" s="2268"/>
      <c r="W78" s="2268"/>
      <c r="X78" s="2268"/>
      <c r="Y78" s="2268"/>
      <c r="Z78" s="2268"/>
      <c r="AA78" s="2277"/>
      <c r="AB78" s="2277"/>
      <c r="AC78" s="2277"/>
      <c r="AD78" s="2277"/>
      <c r="AE78" s="2277"/>
      <c r="AF78" s="2268">
        <v>0</v>
      </c>
    </row>
    <row r="79" spans="1:32" ht="191.25">
      <c r="A79" s="2267"/>
      <c r="B79" s="2268"/>
      <c r="C79" s="2269"/>
      <c r="D79" s="2270" t="s">
        <v>568</v>
      </c>
      <c r="E79" s="2271" t="str">
        <f>E75&amp;".3"</f>
        <v>2.13.3</v>
      </c>
      <c r="F79" s="2272" t="s">
        <v>582</v>
      </c>
      <c r="G79" s="2271" t="s">
        <v>551</v>
      </c>
      <c r="H79" s="2273"/>
      <c r="I79" s="2273">
        <v>1263.43</v>
      </c>
      <c r="J79" s="2274" t="s">
        <v>554</v>
      </c>
      <c r="K79" s="2275"/>
      <c r="L79" s="2269"/>
      <c r="M79" s="2269"/>
      <c r="N79" s="2268"/>
      <c r="O79" s="2268"/>
      <c r="P79" s="2268"/>
      <c r="Q79" s="2268"/>
      <c r="R79" s="2269"/>
      <c r="S79" s="2268"/>
      <c r="T79" s="2268"/>
      <c r="U79" s="2276"/>
      <c r="V79" s="2268"/>
      <c r="W79" s="2268"/>
      <c r="X79" s="2268"/>
      <c r="Y79" s="2268"/>
      <c r="Z79" s="2268"/>
      <c r="AA79" s="2277"/>
      <c r="AB79" s="2277"/>
      <c r="AC79" s="2277"/>
      <c r="AD79" s="2277"/>
      <c r="AE79" s="2277"/>
      <c r="AF79" s="2268">
        <v>0</v>
      </c>
    </row>
    <row r="80" spans="1:32" ht="191.25">
      <c r="A80" s="2267"/>
      <c r="B80" s="2268"/>
      <c r="C80" s="2269"/>
      <c r="D80" s="2270" t="s">
        <v>568</v>
      </c>
      <c r="E80" s="2271" t="str">
        <f>E75&amp;".4"</f>
        <v>2.13.4</v>
      </c>
      <c r="F80" s="2272" t="s">
        <v>583</v>
      </c>
      <c r="G80" s="2271" t="s">
        <v>551</v>
      </c>
      <c r="H80" s="2273"/>
      <c r="I80" s="2273">
        <v>1978.95</v>
      </c>
      <c r="J80" s="2274" t="s">
        <v>554</v>
      </c>
      <c r="K80" s="2275"/>
      <c r="L80" s="2269"/>
      <c r="M80" s="2269"/>
      <c r="N80" s="2268"/>
      <c r="O80" s="2268"/>
      <c r="P80" s="2268"/>
      <c r="Q80" s="2268"/>
      <c r="R80" s="2269"/>
      <c r="S80" s="2268"/>
      <c r="T80" s="2268"/>
      <c r="U80" s="2276"/>
      <c r="V80" s="2268"/>
      <c r="W80" s="2268"/>
      <c r="X80" s="2268"/>
      <c r="Y80" s="2268"/>
      <c r="Z80" s="2268"/>
      <c r="AA80" s="2277"/>
      <c r="AB80" s="2277"/>
      <c r="AC80" s="2277"/>
      <c r="AD80" s="2277"/>
      <c r="AE80" s="2277"/>
      <c r="AF80" s="2268">
        <v>0</v>
      </c>
    </row>
    <row r="81" spans="1:32" ht="14.25">
      <c r="A81" s="910"/>
      <c r="C81" s="1552"/>
      <c r="D81" s="1549"/>
      <c r="E81" s="506"/>
      <c r="F81" s="507" t="s">
        <v>584</v>
      </c>
      <c r="G81" s="508"/>
      <c r="H81" s="509"/>
      <c r="I81" s="509"/>
      <c r="J81" s="238"/>
      <c r="K81" s="1552"/>
      <c r="L81" s="1552"/>
      <c r="M81" s="1552"/>
      <c r="R81" s="1552"/>
      <c r="U81" s="480"/>
      <c r="AA81" s="1548"/>
      <c r="AB81" s="1548"/>
      <c r="AC81" s="1548"/>
      <c r="AD81" s="1548"/>
      <c r="AE81" s="1548"/>
      <c r="AF81" s="1076">
        <v>14</v>
      </c>
    </row>
    <row r="82" spans="1:32" ht="157.5">
      <c r="A82" s="912" t="s">
        <v>585</v>
      </c>
      <c r="C82" s="1552"/>
      <c r="D82" s="1554"/>
      <c r="E82" s="482" t="str">
        <f>FHD_NUM_P_34</f>
        <v>3</v>
      </c>
      <c r="F82" s="1792" t="str">
        <f>FHD_P_34</f>
        <v>Валовая прибыль (убытки) от реализации товаров и оказания услуг по регулируемому виду деятельности</v>
      </c>
      <c r="G82" s="1790" t="s">
        <v>551</v>
      </c>
      <c r="H82" s="493"/>
      <c r="I82" s="493">
        <v>17651.68</v>
      </c>
      <c r="J82" s="226" t="str">
        <f>FHD_NOTE_P_34</f>
        <v/>
      </c>
      <c r="K82" s="479"/>
      <c r="L82" s="1552"/>
      <c r="M82" s="1552"/>
      <c r="R82" s="1552"/>
      <c r="U82" s="480"/>
      <c r="AA82" s="1548"/>
      <c r="AB82" s="1548"/>
      <c r="AC82" s="1548"/>
      <c r="AD82" s="1548"/>
      <c r="AE82" s="1548"/>
      <c r="AF82" s="1076">
        <v>0</v>
      </c>
    </row>
    <row r="83" spans="1:32" ht="135">
      <c r="A83" s="910"/>
      <c r="C83" s="1552"/>
      <c r="D83" s="511"/>
      <c r="E83" s="482" t="str">
        <f>FHD_NUM_P_35</f>
        <v>4</v>
      </c>
      <c r="F83" s="1792" t="str">
        <f>FHD_P_35</f>
        <v>Чистая прибыль, полученная от регулируемого вида деятельности, в том числе:</v>
      </c>
      <c r="G83" s="1790" t="s">
        <v>551</v>
      </c>
      <c r="H83" s="493"/>
      <c r="I83" s="493">
        <v>1027</v>
      </c>
      <c r="J83" s="226" t="str">
        <f>FHD_NOTE_P_35</f>
        <v>Указывается общая сумма чистой прибыли, полученной от регулируемого вида деятельности.</v>
      </c>
      <c r="K83" s="479"/>
      <c r="L83" s="1552"/>
      <c r="M83" s="1552"/>
      <c r="R83" s="1552"/>
      <c r="U83" s="480"/>
      <c r="AA83" s="1548"/>
      <c r="AB83" s="1548"/>
      <c r="AC83" s="1548"/>
      <c r="AD83" s="1548"/>
      <c r="AE83" s="1548"/>
      <c r="AF83" s="1076">
        <v>19</v>
      </c>
    </row>
    <row r="84" spans="1:32" ht="258.75">
      <c r="A84" s="910"/>
      <c r="C84" s="1552"/>
      <c r="D84" s="1554"/>
      <c r="E84" s="482" t="str">
        <f>FHD_NUM_P_36</f>
        <v>4.1</v>
      </c>
      <c r="F84" s="1440" t="str">
        <f>FHD_P_36</f>
        <v>Размер расходования чистой прибыли на финансирование мероприятий, предусмотренных инвестиционной программой регулируемой организации</v>
      </c>
      <c r="G84" s="1790" t="s">
        <v>551</v>
      </c>
      <c r="H84" s="493"/>
      <c r="I84" s="493">
        <v>0</v>
      </c>
      <c r="J84" s="226" t="str">
        <f>FHD_NOTE_P_36</f>
        <v/>
      </c>
      <c r="K84" s="479"/>
      <c r="L84" s="1552"/>
      <c r="M84" s="1552"/>
      <c r="R84" s="1552"/>
      <c r="U84" s="480"/>
      <c r="AA84" s="1548"/>
      <c r="AB84" s="1548"/>
      <c r="AC84" s="1548"/>
      <c r="AD84" s="1548"/>
      <c r="AE84" s="1548"/>
      <c r="AF84" s="1076">
        <v>19</v>
      </c>
    </row>
    <row r="85" spans="1:32" ht="90">
      <c r="A85" s="910"/>
      <c r="C85" s="1552"/>
      <c r="D85" s="1554"/>
      <c r="E85" s="482" t="str">
        <f>FHD_NUM_P_37</f>
        <v>5</v>
      </c>
      <c r="F85" s="1792" t="str">
        <f>FHD_P_37</f>
        <v>Изменение стоимости основных фондов, в том числе:</v>
      </c>
      <c r="G85" s="1790" t="s">
        <v>551</v>
      </c>
      <c r="H85" s="493"/>
      <c r="I85" s="493">
        <v>15045.72</v>
      </c>
      <c r="J85" s="226" t="str">
        <f>FHD_NOTE_P_37</f>
        <v>Указывается общее изменение стоимости основных фондов.</v>
      </c>
      <c r="K85" s="479"/>
      <c r="L85" s="1552"/>
      <c r="M85" s="1552"/>
      <c r="R85" s="1552"/>
      <c r="U85" s="480"/>
      <c r="AA85" s="1548"/>
      <c r="AB85" s="1548"/>
      <c r="AC85" s="1548"/>
      <c r="AD85" s="1548"/>
      <c r="AE85" s="1548"/>
      <c r="AF85" s="1076">
        <v>19</v>
      </c>
    </row>
    <row r="86" spans="1:32" ht="191.25">
      <c r="A86" s="910"/>
      <c r="C86" s="1552"/>
      <c r="D86" s="1554"/>
      <c r="E86" s="482" t="str">
        <f>FHD_NUM_P_38</f>
        <v>5.1</v>
      </c>
      <c r="F86" s="1440" t="str">
        <f>FHD_P_38</f>
        <v>Изменение стоимости основных фондов за счет:</v>
      </c>
      <c r="G86" s="1790" t="s">
        <v>551</v>
      </c>
      <c r="H86" s="493"/>
      <c r="I86" s="493">
        <v>15045.72</v>
      </c>
      <c r="J86" s="226" t="str">
        <f>FHD_NOTE_P_38</f>
        <v>Указываются общее изменение стоимости основных фондов за счет их ввода в эксплуатацию и вывода из эксплуатации.</v>
      </c>
      <c r="K86" s="479"/>
      <c r="L86" s="1552"/>
      <c r="M86" s="1552"/>
      <c r="R86" s="1552"/>
      <c r="U86" s="480"/>
      <c r="AA86" s="1548"/>
      <c r="AB86" s="1548"/>
      <c r="AC86" s="1548"/>
      <c r="AD86" s="1548"/>
      <c r="AE86" s="1548"/>
      <c r="AF86" s="1076">
        <v>19</v>
      </c>
    </row>
    <row r="87" spans="1:32" ht="191.25">
      <c r="A87" s="910"/>
      <c r="C87" s="1552"/>
      <c r="D87" s="1554"/>
      <c r="E87" s="482" t="str">
        <f>FHD_NUM_P_39</f>
        <v>5.1.1</v>
      </c>
      <c r="F87" s="1566" t="str">
        <f>FHD_P_39</f>
        <v>Изменения стоимости основных фондов за счет их ввода в эксплуатацию</v>
      </c>
      <c r="G87" s="1981" t="s">
        <v>551</v>
      </c>
      <c r="H87" s="493"/>
      <c r="I87" s="493">
        <v>15045.72</v>
      </c>
      <c r="J87" s="226" t="str">
        <f>FHD_NOTE_P_39</f>
        <v>Указываются изменение стоимости основных фондов за счет их ввода в эксплуатацию.</v>
      </c>
      <c r="K87" s="479"/>
      <c r="L87" s="1552"/>
      <c r="M87" s="1552"/>
      <c r="R87" s="1552"/>
      <c r="U87" s="480"/>
      <c r="AA87" s="1548"/>
      <c r="AB87" s="1548"/>
      <c r="AC87" s="1548"/>
      <c r="AD87" s="1548"/>
      <c r="AE87" s="1548"/>
      <c r="AF87" s="1076">
        <v>19</v>
      </c>
    </row>
    <row r="88" spans="1:32" ht="191.25">
      <c r="A88" s="910"/>
      <c r="C88" s="1552"/>
      <c r="D88" s="1554"/>
      <c r="E88" s="482" t="str">
        <f>FHD_NUM_P_40</f>
        <v>5.1.2</v>
      </c>
      <c r="F88" s="1985" t="str">
        <f>FHD_P_40</f>
        <v>Изменения стоимости основных фондов за счет их вывода в эксплуатацию</v>
      </c>
      <c r="G88" s="1980" t="s">
        <v>551</v>
      </c>
      <c r="H88" s="900"/>
      <c r="I88" s="493">
        <v>0</v>
      </c>
      <c r="J88" s="226" t="str">
        <f>FHD_NOTE_P_40</f>
        <v>Указываются изменение стоимости основных фондов за счет их вывода из эксплуатации.</v>
      </c>
      <c r="K88" s="479"/>
      <c r="L88" s="1552"/>
      <c r="M88" s="1552"/>
      <c r="R88" s="1552"/>
      <c r="U88" s="480"/>
      <c r="AA88" s="1548"/>
      <c r="AB88" s="1548"/>
      <c r="AC88" s="1548"/>
      <c r="AD88" s="1548"/>
      <c r="AE88" s="1548"/>
      <c r="AF88" s="1076">
        <v>19</v>
      </c>
    </row>
    <row r="89" spans="1:32" ht="123.75">
      <c r="A89" s="910"/>
      <c r="C89" s="1552"/>
      <c r="D89" s="1554"/>
      <c r="E89" s="482" t="str">
        <f>FHD_NUM_P_41</f>
        <v>5.2</v>
      </c>
      <c r="F89" s="1984" t="str">
        <f>FHD_P_41</f>
        <v>Изменение стоимости основных фондов за счет их переоценки</v>
      </c>
      <c r="G89" s="1980" t="s">
        <v>551</v>
      </c>
      <c r="H89" s="900"/>
      <c r="I89" s="493">
        <v>0</v>
      </c>
      <c r="J89" s="226" t="str">
        <f>FHD_NOTE_P_41</f>
        <v/>
      </c>
      <c r="K89" s="479"/>
      <c r="L89" s="1552"/>
      <c r="M89" s="1552"/>
      <c r="R89" s="1552"/>
      <c r="U89" s="480"/>
      <c r="AA89" s="1548"/>
      <c r="AB89" s="1548"/>
      <c r="AC89" s="1548"/>
      <c r="AD89" s="1548"/>
      <c r="AE89" s="1548"/>
      <c r="AF89" s="1076">
        <v>19</v>
      </c>
    </row>
    <row r="90" spans="1:32" ht="18.75">
      <c r="A90" s="912" t="s">
        <v>586</v>
      </c>
      <c r="C90" s="1552" t="s">
        <v>587</v>
      </c>
      <c r="D90" s="1554"/>
      <c r="E90" s="482" t="str">
        <f>FHD_NUM_P_42</f>
        <v/>
      </c>
      <c r="F90" s="1982" t="str">
        <f>FHD_P_42</f>
        <v/>
      </c>
      <c r="G90" s="1980" t="s">
        <v>551</v>
      </c>
      <c r="H90" s="900"/>
      <c r="I90" s="493"/>
      <c r="J90" s="226" t="str">
        <f>FHD_NOTE_P_42</f>
        <v/>
      </c>
      <c r="K90" s="479"/>
      <c r="L90" s="1552"/>
      <c r="M90" s="1552"/>
      <c r="R90" s="1552"/>
      <c r="U90" s="480"/>
      <c r="AA90" s="1548"/>
      <c r="AB90" s="1548"/>
      <c r="AC90" s="1548"/>
      <c r="AD90" s="1548"/>
      <c r="AE90" s="1548"/>
      <c r="AF90" s="1076">
        <v>19</v>
      </c>
    </row>
    <row r="91" spans="1:32" ht="409.5">
      <c r="A91" s="910"/>
      <c r="C91" s="1552"/>
      <c r="D91" s="1554"/>
      <c r="E91" s="482" t="str">
        <f>FHD_NUM_P_43</f>
        <v>6</v>
      </c>
      <c r="F91" s="1792" t="str">
        <f>FHD_P_43</f>
        <v>Годовая бухгалтерская (финансовая) отчетность, включая бухгалтерский баланс и приложения к нему</v>
      </c>
      <c r="G91" s="1983" t="s">
        <v>305</v>
      </c>
      <c r="H91" s="2035"/>
      <c r="I91" s="2278" t="s">
        <v>588</v>
      </c>
      <c r="J9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1" s="479"/>
      <c r="L91" s="1552"/>
      <c r="M91" s="1552"/>
      <c r="R91" s="1552"/>
      <c r="U91" s="480"/>
      <c r="AA91" s="1548"/>
      <c r="AB91" s="1548"/>
      <c r="AC91" s="1548"/>
      <c r="AD91" s="1548"/>
      <c r="AE91" s="1548"/>
      <c r="AF91" s="1076">
        <v>19</v>
      </c>
    </row>
    <row r="92" spans="1:32" ht="22.5">
      <c r="A92" s="1994" t="s">
        <v>589</v>
      </c>
      <c r="C92" s="671"/>
      <c r="D92" s="669"/>
      <c r="E92" s="482" t="str">
        <f>FHD_NUM_P_44</f>
        <v/>
      </c>
      <c r="F92" s="1792" t="str">
        <f>FHD_P_44</f>
        <v/>
      </c>
      <c r="G92" s="1793" t="s">
        <v>590</v>
      </c>
      <c r="H92" s="901"/>
      <c r="I92" s="513"/>
      <c r="J92" s="226" t="str">
        <f>FHD_NOTE_P_44</f>
        <v/>
      </c>
      <c r="K92" s="670"/>
      <c r="L92" s="671"/>
      <c r="M92" s="671"/>
      <c r="R92" s="671"/>
      <c r="U92" s="672"/>
      <c r="AA92" s="673"/>
      <c r="AB92" s="673"/>
      <c r="AC92" s="673"/>
      <c r="AD92" s="673"/>
      <c r="AE92" s="673"/>
      <c r="AF92" s="835">
        <v>0</v>
      </c>
    </row>
    <row r="93" spans="1:32" ht="22.5">
      <c r="A93" s="1994"/>
      <c r="C93" s="671"/>
      <c r="D93" s="669"/>
      <c r="E93" s="482" t="str">
        <f>FHD_NUM_P_45</f>
        <v/>
      </c>
      <c r="F93" s="1792" t="str">
        <f>FHD_P_45</f>
        <v/>
      </c>
      <c r="G93" s="1793" t="s">
        <v>590</v>
      </c>
      <c r="H93" s="901"/>
      <c r="I93" s="513"/>
      <c r="J93" s="226" t="str">
        <f>FHD_NOTE_P_45</f>
        <v/>
      </c>
      <c r="K93" s="670"/>
      <c r="L93" s="671"/>
      <c r="M93" s="671"/>
      <c r="R93" s="671"/>
      <c r="U93" s="672"/>
      <c r="AA93" s="673"/>
      <c r="AB93" s="673"/>
      <c r="AC93" s="673"/>
      <c r="AD93" s="673"/>
      <c r="AE93" s="673"/>
      <c r="AF93" s="835">
        <v>0</v>
      </c>
    </row>
    <row r="94" spans="1:32" ht="22.5">
      <c r="A94" s="1994"/>
      <c r="C94" s="671"/>
      <c r="D94" s="674"/>
      <c r="E94" s="482" t="str">
        <f>FHD_NUM_P_46</f>
        <v/>
      </c>
      <c r="F94" s="1792" t="str">
        <f>FHD_P_46</f>
        <v/>
      </c>
      <c r="G94" s="1793" t="s">
        <v>590</v>
      </c>
      <c r="H94" s="901"/>
      <c r="I94" s="513"/>
      <c r="J94" s="226" t="str">
        <f>FHD_NOTE_P_46</f>
        <v/>
      </c>
      <c r="K94" s="670"/>
      <c r="L94" s="671"/>
      <c r="M94" s="671"/>
      <c r="R94" s="671"/>
      <c r="U94" s="672"/>
      <c r="AA94" s="673"/>
      <c r="AB94" s="673"/>
      <c r="AC94" s="673"/>
      <c r="AD94" s="673"/>
      <c r="AE94" s="673"/>
      <c r="AF94" s="835">
        <v>0</v>
      </c>
    </row>
    <row r="95" spans="1:32" ht="22.5">
      <c r="A95" s="1994"/>
      <c r="C95" s="671"/>
      <c r="D95" s="669"/>
      <c r="E95" s="482" t="str">
        <f>FHD_NUM_P_47</f>
        <v/>
      </c>
      <c r="F95" s="1792" t="str">
        <f>FHD_P_47</f>
        <v/>
      </c>
      <c r="G95" s="1793" t="s">
        <v>590</v>
      </c>
      <c r="H95" s="901"/>
      <c r="I95" s="513"/>
      <c r="J95" s="226" t="str">
        <f>FHD_NOTE_P_47</f>
        <v/>
      </c>
      <c r="K95" s="670"/>
      <c r="L95" s="671"/>
      <c r="M95" s="671"/>
      <c r="R95" s="671"/>
      <c r="U95" s="672"/>
      <c r="AA95" s="673"/>
      <c r="AB95" s="673"/>
      <c r="AC95" s="673"/>
      <c r="AD95" s="673"/>
      <c r="AE95" s="673"/>
      <c r="AF95" s="835">
        <v>0</v>
      </c>
    </row>
    <row r="96" spans="1:32" ht="22.5">
      <c r="A96" s="1994"/>
      <c r="B96" s="835"/>
      <c r="C96" s="671"/>
      <c r="D96" s="669"/>
      <c r="E96" s="482" t="str">
        <f>FHD_NUM_P_48</f>
        <v/>
      </c>
      <c r="F96" s="1792" t="str">
        <f>FHD_P_48</f>
        <v/>
      </c>
      <c r="G96" s="1793" t="s">
        <v>590</v>
      </c>
      <c r="H96" s="901"/>
      <c r="I96" s="513"/>
      <c r="J96" s="226" t="str">
        <f>FHD_NOTE_P_48</f>
        <v/>
      </c>
      <c r="K96" s="670"/>
      <c r="L96" s="671"/>
      <c r="M96" s="671"/>
      <c r="N96" s="835"/>
      <c r="O96" s="835"/>
      <c r="P96" s="835"/>
      <c r="Q96" s="835"/>
      <c r="R96" s="671"/>
      <c r="S96" s="835"/>
      <c r="T96" s="835"/>
      <c r="U96" s="672"/>
      <c r="V96" s="835"/>
      <c r="W96" s="835"/>
      <c r="X96" s="835"/>
      <c r="Y96" s="835"/>
      <c r="Z96" s="835"/>
      <c r="AA96" s="673"/>
      <c r="AB96" s="673"/>
      <c r="AC96" s="673"/>
      <c r="AD96" s="673"/>
      <c r="AE96" s="673"/>
      <c r="AF96" s="675">
        <v>0</v>
      </c>
    </row>
    <row r="97" spans="1:32" ht="22.5">
      <c r="A97" s="1994"/>
      <c r="B97" s="835"/>
      <c r="C97" s="671"/>
      <c r="D97" s="669"/>
      <c r="E97" s="482" t="str">
        <f>FHD_NUM_P_49</f>
        <v/>
      </c>
      <c r="F97" s="1792" t="str">
        <f>FHD_P_49</f>
        <v/>
      </c>
      <c r="G97" s="1793" t="s">
        <v>590</v>
      </c>
      <c r="H97" s="902">
        <f>SUM(H98:H99)</f>
        <v>0</v>
      </c>
      <c r="I97" s="685">
        <f>SUM(I98:I99)</f>
        <v>0</v>
      </c>
      <c r="J97" s="226" t="str">
        <f>FHD_NOTE_P_49</f>
        <v/>
      </c>
      <c r="K97" s="670"/>
      <c r="L97" s="671"/>
      <c r="M97" s="671"/>
      <c r="N97" s="835"/>
      <c r="O97" s="835"/>
      <c r="P97" s="835"/>
      <c r="Q97" s="835"/>
      <c r="R97" s="671"/>
      <c r="S97" s="835"/>
      <c r="T97" s="835"/>
      <c r="U97" s="672"/>
      <c r="V97" s="835"/>
      <c r="W97" s="835"/>
      <c r="X97" s="835"/>
      <c r="Y97" s="835"/>
      <c r="Z97" s="835"/>
      <c r="AA97" s="673"/>
      <c r="AB97" s="673"/>
      <c r="AC97" s="673"/>
      <c r="AD97" s="673"/>
      <c r="AE97" s="673"/>
      <c r="AF97" s="675">
        <v>0</v>
      </c>
    </row>
    <row r="98" spans="1:32" ht="22.5">
      <c r="A98" s="1994"/>
      <c r="B98" s="835"/>
      <c r="C98" s="671"/>
      <c r="D98" s="669"/>
      <c r="E98" s="482" t="str">
        <f>FHD_NUM_P_50</f>
        <v/>
      </c>
      <c r="F98" s="1792" t="str">
        <f>FHD_P_50</f>
        <v/>
      </c>
      <c r="G98" s="1793" t="s">
        <v>590</v>
      </c>
      <c r="H98" s="901"/>
      <c r="I98" s="513"/>
      <c r="J98" s="226" t="str">
        <f>FHD_NOTE_P_50</f>
        <v/>
      </c>
      <c r="K98" s="670"/>
      <c r="L98" s="671"/>
      <c r="M98" s="671"/>
      <c r="N98" s="835"/>
      <c r="O98" s="835"/>
      <c r="P98" s="835"/>
      <c r="Q98" s="835"/>
      <c r="R98" s="671"/>
      <c r="S98" s="835"/>
      <c r="T98" s="835"/>
      <c r="U98" s="672"/>
      <c r="V98" s="835"/>
      <c r="W98" s="835"/>
      <c r="X98" s="835"/>
      <c r="Y98" s="835"/>
      <c r="Z98" s="835"/>
      <c r="AA98" s="673"/>
      <c r="AB98" s="673"/>
      <c r="AC98" s="673"/>
      <c r="AD98" s="673"/>
      <c r="AE98" s="673"/>
      <c r="AF98" s="675">
        <v>0</v>
      </c>
    </row>
    <row r="99" spans="1:32" ht="22.5">
      <c r="A99" s="1994"/>
      <c r="B99" s="835"/>
      <c r="C99" s="671"/>
      <c r="D99" s="669"/>
      <c r="E99" s="482" t="str">
        <f>FHD_NUM_P_51</f>
        <v/>
      </c>
      <c r="F99" s="1792" t="str">
        <f>FHD_P_51</f>
        <v/>
      </c>
      <c r="G99" s="1793" t="s">
        <v>590</v>
      </c>
      <c r="H99" s="901"/>
      <c r="I99" s="513"/>
      <c r="J99" s="226" t="str">
        <f>FHD_NOTE_P_51</f>
        <v/>
      </c>
      <c r="K99" s="670"/>
      <c r="L99" s="671"/>
      <c r="M99" s="671"/>
      <c r="N99" s="835"/>
      <c r="O99" s="835"/>
      <c r="P99" s="835"/>
      <c r="Q99" s="835"/>
      <c r="R99" s="671"/>
      <c r="S99" s="835"/>
      <c r="T99" s="835"/>
      <c r="U99" s="672"/>
      <c r="V99" s="835"/>
      <c r="W99" s="835"/>
      <c r="X99" s="835"/>
      <c r="Y99" s="835"/>
      <c r="Z99" s="835"/>
      <c r="AA99" s="673"/>
      <c r="AB99" s="673"/>
      <c r="AC99" s="673"/>
      <c r="AD99" s="673"/>
      <c r="AE99" s="673"/>
      <c r="AF99" s="675">
        <v>0</v>
      </c>
    </row>
    <row r="100" spans="1:32" ht="18.75">
      <c r="A100" s="1994"/>
      <c r="B100" s="835"/>
      <c r="C100" s="671"/>
      <c r="D100" s="669"/>
      <c r="E100" s="482" t="str">
        <f>FHD_NUM_P_52</f>
        <v/>
      </c>
      <c r="F100" s="1792" t="str">
        <f>FHD_P_52</f>
        <v/>
      </c>
      <c r="G100" s="1793" t="s">
        <v>557</v>
      </c>
      <c r="H100" s="900"/>
      <c r="I100" s="493"/>
      <c r="J100" s="226" t="str">
        <f>FHD_NOTE_P_52</f>
        <v/>
      </c>
      <c r="K100" s="670"/>
      <c r="L100" s="671"/>
      <c r="M100" s="671"/>
      <c r="N100" s="835"/>
      <c r="O100" s="835"/>
      <c r="P100" s="835"/>
      <c r="Q100" s="835"/>
      <c r="R100" s="671"/>
      <c r="S100" s="835"/>
      <c r="T100" s="835"/>
      <c r="U100" s="672"/>
      <c r="V100" s="835"/>
      <c r="W100" s="835"/>
      <c r="X100" s="835"/>
      <c r="Y100" s="835"/>
      <c r="Z100" s="835"/>
      <c r="AA100" s="673"/>
      <c r="AB100" s="673"/>
      <c r="AC100" s="673"/>
      <c r="AD100" s="673"/>
      <c r="AE100" s="673"/>
      <c r="AF100" s="675">
        <v>0</v>
      </c>
    </row>
    <row r="101" spans="1:32" ht="22.5">
      <c r="A101" s="1996" t="s">
        <v>591</v>
      </c>
      <c r="C101" s="671"/>
      <c r="D101" s="669"/>
      <c r="E101" s="482" t="str">
        <f>FHD_NUM_P_53</f>
        <v/>
      </c>
      <c r="F101" s="1792" t="str">
        <f>FHD_P_53</f>
        <v/>
      </c>
      <c r="G101" s="1793" t="s">
        <v>590</v>
      </c>
      <c r="H101" s="901"/>
      <c r="I101" s="513"/>
      <c r="J101" s="226" t="str">
        <f>FHD_NOTE_P_53</f>
        <v/>
      </c>
      <c r="K101" s="670"/>
      <c r="L101" s="671"/>
      <c r="M101" s="671"/>
      <c r="R101" s="671"/>
      <c r="U101" s="672"/>
      <c r="AA101" s="673"/>
      <c r="AB101" s="673"/>
      <c r="AC101" s="673"/>
      <c r="AD101" s="673"/>
      <c r="AE101" s="673"/>
      <c r="AF101" s="835">
        <v>0</v>
      </c>
    </row>
    <row r="102" spans="1:32" ht="22.5">
      <c r="A102" s="1996"/>
      <c r="C102" s="671"/>
      <c r="D102" s="669"/>
      <c r="E102" s="482" t="str">
        <f>FHD_NUM_P_54</f>
        <v/>
      </c>
      <c r="F102" s="1792" t="str">
        <f>FHD_P_54</f>
        <v/>
      </c>
      <c r="G102" s="1793" t="s">
        <v>590</v>
      </c>
      <c r="H102" s="901"/>
      <c r="I102" s="513"/>
      <c r="J102" s="226" t="str">
        <f>FHD_NOTE_P_54</f>
        <v/>
      </c>
      <c r="K102" s="670"/>
      <c r="L102" s="671"/>
      <c r="M102" s="671"/>
      <c r="R102" s="671"/>
      <c r="U102" s="672"/>
      <c r="AA102" s="673"/>
      <c r="AB102" s="673"/>
      <c r="AC102" s="673"/>
      <c r="AD102" s="673"/>
      <c r="AE102" s="673"/>
      <c r="AF102" s="835">
        <v>0</v>
      </c>
    </row>
    <row r="103" spans="1:32" ht="18.75">
      <c r="A103" s="1996"/>
      <c r="C103" s="671"/>
      <c r="D103" s="674"/>
      <c r="E103" s="482" t="str">
        <f>FHD_NUM_P_55</f>
        <v/>
      </c>
      <c r="F103" s="1792" t="str">
        <f>FHD_P_55</f>
        <v/>
      </c>
      <c r="G103" s="1796"/>
      <c r="H103" s="901"/>
      <c r="I103" s="513"/>
      <c r="J103" s="226" t="str">
        <f>FHD_NOTE_P_55</f>
        <v/>
      </c>
      <c r="K103" s="670"/>
      <c r="L103" s="671"/>
      <c r="M103" s="671"/>
      <c r="R103" s="671"/>
      <c r="U103" s="672"/>
      <c r="AA103" s="673"/>
      <c r="AB103" s="673"/>
      <c r="AC103" s="673"/>
      <c r="AD103" s="673"/>
      <c r="AE103" s="673"/>
      <c r="AF103" s="835">
        <v>0</v>
      </c>
    </row>
    <row r="104" spans="1:32" ht="18.75">
      <c r="A104" s="1996"/>
      <c r="C104" s="671"/>
      <c r="D104" s="669"/>
      <c r="E104" s="482" t="str">
        <f>FHD_NUM_P_56</f>
        <v/>
      </c>
      <c r="F104" s="1792" t="str">
        <f>FHD_P_56</f>
        <v/>
      </c>
      <c r="G104" s="1793" t="s">
        <v>592</v>
      </c>
      <c r="H104" s="901"/>
      <c r="I104" s="513"/>
      <c r="J104" s="226" t="str">
        <f>FHD_NOTE_P_56</f>
        <v/>
      </c>
      <c r="K104" s="670"/>
      <c r="L104" s="671"/>
      <c r="M104" s="671"/>
      <c r="R104" s="671"/>
      <c r="U104" s="672"/>
      <c r="AA104" s="673"/>
      <c r="AB104" s="673"/>
      <c r="AC104" s="673"/>
      <c r="AD104" s="673"/>
      <c r="AE104" s="673"/>
      <c r="AF104" s="835">
        <v>0</v>
      </c>
    </row>
    <row r="105" spans="1:32" ht="18.75">
      <c r="A105" s="1996"/>
      <c r="B105" s="835"/>
      <c r="C105" s="671"/>
      <c r="D105" s="669"/>
      <c r="E105" s="482" t="str">
        <f>FHD_NUM_P_57</f>
        <v/>
      </c>
      <c r="F105" s="1792" t="str">
        <f>FHD_P_57</f>
        <v/>
      </c>
      <c r="G105" s="1793" t="s">
        <v>557</v>
      </c>
      <c r="H105" s="900"/>
      <c r="I105" s="493"/>
      <c r="J105" s="226" t="str">
        <f>FHD_NOTE_P_57</f>
        <v/>
      </c>
      <c r="K105" s="670"/>
      <c r="L105" s="671"/>
      <c r="M105" s="671"/>
      <c r="N105" s="835"/>
      <c r="O105" s="835"/>
      <c r="P105" s="835"/>
      <c r="Q105" s="835"/>
      <c r="R105" s="671"/>
      <c r="S105" s="835"/>
      <c r="T105" s="835"/>
      <c r="U105" s="672"/>
      <c r="V105" s="835"/>
      <c r="W105" s="835"/>
      <c r="X105" s="835"/>
      <c r="Y105" s="835"/>
      <c r="Z105" s="835"/>
      <c r="AA105" s="673"/>
      <c r="AB105" s="673"/>
      <c r="AC105" s="673"/>
      <c r="AD105" s="673"/>
      <c r="AE105" s="673"/>
      <c r="AF105" s="675">
        <v>0</v>
      </c>
    </row>
    <row r="106" spans="1:32" ht="22.5">
      <c r="A106" s="1994" t="s">
        <v>593</v>
      </c>
      <c r="D106" s="1554"/>
      <c r="E106" s="482" t="str">
        <f>FHD_NUM_P_58</f>
        <v/>
      </c>
      <c r="F106" s="1792" t="str">
        <f>FHD_P_58</f>
        <v/>
      </c>
      <c r="G106" s="1793" t="s">
        <v>590</v>
      </c>
      <c r="H106" s="901"/>
      <c r="I106" s="513"/>
      <c r="J106" s="226" t="str">
        <f>FHD_NOTE_P_58</f>
        <v/>
      </c>
      <c r="K106" s="479"/>
      <c r="AF106" s="1547">
        <v>0</v>
      </c>
    </row>
    <row r="107" spans="1:32" ht="22.5">
      <c r="A107" s="1994"/>
      <c r="D107" s="1554"/>
      <c r="E107" s="482" t="str">
        <f>FHD_NUM_P_59</f>
        <v/>
      </c>
      <c r="F107" s="1792" t="str">
        <f>FHD_P_59</f>
        <v/>
      </c>
      <c r="G107" s="1793" t="s">
        <v>590</v>
      </c>
      <c r="H107" s="901"/>
      <c r="I107" s="513"/>
      <c r="J107" s="226" t="str">
        <f>FHD_NOTE_P_59</f>
        <v/>
      </c>
      <c r="K107" s="479"/>
      <c r="AF107" s="1547">
        <v>0</v>
      </c>
    </row>
    <row r="108" spans="1:32" ht="22.5">
      <c r="A108" s="1994"/>
      <c r="D108" s="1554"/>
      <c r="E108" s="482" t="str">
        <f>FHD_NUM_P_60</f>
        <v/>
      </c>
      <c r="F108" s="1792" t="str">
        <f>FHD_P_60</f>
        <v/>
      </c>
      <c r="G108" s="1793" t="s">
        <v>590</v>
      </c>
      <c r="H108" s="901"/>
      <c r="I108" s="513"/>
      <c r="J108" s="226" t="str">
        <f>FHD_NOTE_P_60</f>
        <v/>
      </c>
      <c r="K108" s="479"/>
      <c r="AF108" s="1547">
        <v>0</v>
      </c>
    </row>
    <row r="109" spans="1:32" ht="405">
      <c r="A109" s="1994" t="s">
        <v>594</v>
      </c>
      <c r="C109" s="1552"/>
      <c r="D109" s="1554"/>
      <c r="E109" s="482" t="str">
        <f>FHD_NUM_P_61</f>
        <v>7</v>
      </c>
      <c r="F109" s="17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09" s="1790" t="s">
        <v>555</v>
      </c>
      <c r="H109" s="903"/>
      <c r="I109" s="678">
        <v>386.79</v>
      </c>
      <c r="J10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09" s="479"/>
      <c r="L109" s="1552"/>
      <c r="M109" s="1552"/>
      <c r="R109" s="1552"/>
      <c r="U109" s="480"/>
      <c r="AA109" s="1548"/>
      <c r="AB109" s="1548"/>
      <c r="AC109" s="1548"/>
      <c r="AD109" s="1548"/>
      <c r="AE109" s="1548"/>
      <c r="AF109" s="1076">
        <v>0</v>
      </c>
    </row>
    <row r="110" spans="1:32" ht="11.25">
      <c r="A110" s="1994"/>
      <c r="D110" s="484"/>
      <c r="E110" s="935" t="str">
        <f>E109&amp;".0"</f>
        <v>7.0</v>
      </c>
      <c r="F110" s="917"/>
      <c r="G110" s="918"/>
      <c r="H110" s="915"/>
      <c r="I110" s="915"/>
      <c r="J110" s="919"/>
      <c r="AF110" s="1552">
        <v>0</v>
      </c>
    </row>
    <row r="111" spans="1:32" ht="123.75">
      <c r="A111" s="2012"/>
      <c r="B111" s="2022"/>
      <c r="C111" s="2021"/>
      <c r="D111" s="2015" t="s">
        <v>568</v>
      </c>
      <c r="E111" s="2016" t="str">
        <f>E109&amp;".1"</f>
        <v>7.1</v>
      </c>
      <c r="F111" s="2037" t="s">
        <v>595</v>
      </c>
      <c r="G111" s="2018" t="s">
        <v>555</v>
      </c>
      <c r="H111" s="2033"/>
      <c r="I111" s="2033">
        <v>41.5</v>
      </c>
      <c r="J111" s="2019" t="s">
        <v>556</v>
      </c>
      <c r="K111" s="2020"/>
      <c r="L111" s="2021"/>
      <c r="M111" s="2021"/>
      <c r="N111" s="2022"/>
      <c r="O111" s="2022"/>
      <c r="P111" s="2022"/>
      <c r="Q111" s="2022"/>
      <c r="R111" s="2021"/>
      <c r="S111" s="2022"/>
      <c r="T111" s="2022"/>
      <c r="U111" s="2023"/>
      <c r="V111" s="2022"/>
      <c r="W111" s="2022"/>
      <c r="X111" s="2022"/>
      <c r="Y111" s="2022"/>
      <c r="Z111" s="2022"/>
      <c r="AA111" s="2024"/>
      <c r="AB111" s="2024"/>
      <c r="AC111" s="2024"/>
      <c r="AD111" s="2024"/>
      <c r="AE111" s="2024"/>
      <c r="AF111" s="2025">
        <v>0</v>
      </c>
    </row>
    <row r="112" spans="1:32" ht="123.75">
      <c r="A112" s="2012"/>
      <c r="B112" s="2022"/>
      <c r="C112" s="2021"/>
      <c r="D112" s="2015" t="s">
        <v>568</v>
      </c>
      <c r="E112" s="2016" t="str">
        <f>E109&amp;".2"</f>
        <v>7.2</v>
      </c>
      <c r="F112" s="2037" t="s">
        <v>596</v>
      </c>
      <c r="G112" s="2018" t="s">
        <v>555</v>
      </c>
      <c r="H112" s="2033"/>
      <c r="I112" s="2033">
        <v>41.5</v>
      </c>
      <c r="J112" s="2019" t="s">
        <v>556</v>
      </c>
      <c r="K112" s="2020"/>
      <c r="L112" s="2021"/>
      <c r="M112" s="2021"/>
      <c r="N112" s="2022"/>
      <c r="O112" s="2022"/>
      <c r="P112" s="2022"/>
      <c r="Q112" s="2022"/>
      <c r="R112" s="2021"/>
      <c r="S112" s="2022"/>
      <c r="T112" s="2022"/>
      <c r="U112" s="2023"/>
      <c r="V112" s="2022"/>
      <c r="W112" s="2022"/>
      <c r="X112" s="2022"/>
      <c r="Y112" s="2022"/>
      <c r="Z112" s="2022"/>
      <c r="AA112" s="2024"/>
      <c r="AB112" s="2024"/>
      <c r="AC112" s="2024"/>
      <c r="AD112" s="2024"/>
      <c r="AE112" s="2024"/>
      <c r="AF112" s="2025">
        <v>0</v>
      </c>
    </row>
    <row r="113" spans="1:32" ht="123.75">
      <c r="A113" s="2012"/>
      <c r="B113" s="2022"/>
      <c r="C113" s="2021"/>
      <c r="D113" s="2015" t="s">
        <v>568</v>
      </c>
      <c r="E113" s="2016" t="str">
        <f>E109&amp;".3"</f>
        <v>7.3</v>
      </c>
      <c r="F113" s="2037" t="s">
        <v>597</v>
      </c>
      <c r="G113" s="2018" t="s">
        <v>555</v>
      </c>
      <c r="H113" s="2033"/>
      <c r="I113" s="2033">
        <v>24.9</v>
      </c>
      <c r="J113" s="2019" t="s">
        <v>556</v>
      </c>
      <c r="K113" s="2020"/>
      <c r="L113" s="2021"/>
      <c r="M113" s="2021"/>
      <c r="N113" s="2022"/>
      <c r="O113" s="2022"/>
      <c r="P113" s="2022"/>
      <c r="Q113" s="2022"/>
      <c r="R113" s="2021"/>
      <c r="S113" s="2022"/>
      <c r="T113" s="2022"/>
      <c r="U113" s="2023"/>
      <c r="V113" s="2022"/>
      <c r="W113" s="2022"/>
      <c r="X113" s="2022"/>
      <c r="Y113" s="2022"/>
      <c r="Z113" s="2022"/>
      <c r="AA113" s="2024"/>
      <c r="AB113" s="2024"/>
      <c r="AC113" s="2024"/>
      <c r="AD113" s="2024"/>
      <c r="AE113" s="2024"/>
      <c r="AF113" s="2025">
        <v>0</v>
      </c>
    </row>
    <row r="114" spans="1:32" ht="123.75">
      <c r="A114" s="2012"/>
      <c r="B114" s="2022"/>
      <c r="C114" s="2021"/>
      <c r="D114" s="2015" t="s">
        <v>568</v>
      </c>
      <c r="E114" s="2016" t="str">
        <f>E109&amp;".4"</f>
        <v>7.4</v>
      </c>
      <c r="F114" s="2037" t="s">
        <v>598</v>
      </c>
      <c r="G114" s="2018" t="s">
        <v>555</v>
      </c>
      <c r="H114" s="2033"/>
      <c r="I114" s="2033">
        <v>3.22</v>
      </c>
      <c r="J114" s="2019" t="s">
        <v>556</v>
      </c>
      <c r="K114" s="2020"/>
      <c r="L114" s="2021"/>
      <c r="M114" s="2021"/>
      <c r="N114" s="2022"/>
      <c r="O114" s="2022"/>
      <c r="P114" s="2022"/>
      <c r="Q114" s="2022"/>
      <c r="R114" s="2021"/>
      <c r="S114" s="2022"/>
      <c r="T114" s="2022"/>
      <c r="U114" s="2023"/>
      <c r="V114" s="2022"/>
      <c r="W114" s="2022"/>
      <c r="X114" s="2022"/>
      <c r="Y114" s="2022"/>
      <c r="Z114" s="2022"/>
      <c r="AA114" s="2024"/>
      <c r="AB114" s="2024"/>
      <c r="AC114" s="2024"/>
      <c r="AD114" s="2024"/>
      <c r="AE114" s="2024"/>
      <c r="AF114" s="2025">
        <v>0</v>
      </c>
    </row>
    <row r="115" spans="1:32" ht="123.75">
      <c r="A115" s="2012"/>
      <c r="B115" s="2022"/>
      <c r="C115" s="2021"/>
      <c r="D115" s="2015" t="s">
        <v>568</v>
      </c>
      <c r="E115" s="2016" t="str">
        <f>E109&amp;".5"</f>
        <v>7.5</v>
      </c>
      <c r="F115" s="2037" t="s">
        <v>599</v>
      </c>
      <c r="G115" s="2018" t="s">
        <v>555</v>
      </c>
      <c r="H115" s="2033"/>
      <c r="I115" s="2033">
        <v>8.4000000000000005E-2</v>
      </c>
      <c r="J115" s="2019" t="s">
        <v>556</v>
      </c>
      <c r="K115" s="2020"/>
      <c r="L115" s="2021"/>
      <c r="M115" s="2021"/>
      <c r="N115" s="2022"/>
      <c r="O115" s="2022"/>
      <c r="P115" s="2022"/>
      <c r="Q115" s="2022"/>
      <c r="R115" s="2021"/>
      <c r="S115" s="2022"/>
      <c r="T115" s="2022"/>
      <c r="U115" s="2023"/>
      <c r="V115" s="2022"/>
      <c r="W115" s="2022"/>
      <c r="X115" s="2022"/>
      <c r="Y115" s="2022"/>
      <c r="Z115" s="2022"/>
      <c r="AA115" s="2024"/>
      <c r="AB115" s="2024"/>
      <c r="AC115" s="2024"/>
      <c r="AD115" s="2024"/>
      <c r="AE115" s="2024"/>
      <c r="AF115" s="2025">
        <v>0</v>
      </c>
    </row>
    <row r="116" spans="1:32" ht="123.75">
      <c r="A116" s="2012"/>
      <c r="B116" s="2022"/>
      <c r="C116" s="2021"/>
      <c r="D116" s="2015" t="s">
        <v>568</v>
      </c>
      <c r="E116" s="2016" t="str">
        <f>E109&amp;".6"</f>
        <v>7.6</v>
      </c>
      <c r="F116" s="2037" t="s">
        <v>600</v>
      </c>
      <c r="G116" s="2018" t="s">
        <v>555</v>
      </c>
      <c r="H116" s="2033"/>
      <c r="I116" s="2033">
        <v>1.034</v>
      </c>
      <c r="J116" s="2019" t="s">
        <v>556</v>
      </c>
      <c r="K116" s="2020"/>
      <c r="L116" s="2021"/>
      <c r="M116" s="2021"/>
      <c r="N116" s="2022"/>
      <c r="O116" s="2022"/>
      <c r="P116" s="2022"/>
      <c r="Q116" s="2022"/>
      <c r="R116" s="2021"/>
      <c r="S116" s="2022"/>
      <c r="T116" s="2022"/>
      <c r="U116" s="2023"/>
      <c r="V116" s="2022"/>
      <c r="W116" s="2022"/>
      <c r="X116" s="2022"/>
      <c r="Y116" s="2022"/>
      <c r="Z116" s="2022"/>
      <c r="AA116" s="2024"/>
      <c r="AB116" s="2024"/>
      <c r="AC116" s="2024"/>
      <c r="AD116" s="2024"/>
      <c r="AE116" s="2024"/>
      <c r="AF116" s="2025">
        <v>0</v>
      </c>
    </row>
    <row r="117" spans="1:32" ht="123.75">
      <c r="A117" s="2012"/>
      <c r="B117" s="2022"/>
      <c r="C117" s="2021"/>
      <c r="D117" s="2015" t="s">
        <v>568</v>
      </c>
      <c r="E117" s="2016" t="str">
        <f>E109&amp;".7"</f>
        <v>7.7</v>
      </c>
      <c r="F117" s="2037" t="s">
        <v>601</v>
      </c>
      <c r="G117" s="2018" t="s">
        <v>555</v>
      </c>
      <c r="H117" s="2033"/>
      <c r="I117" s="2033">
        <v>3</v>
      </c>
      <c r="J117" s="2019" t="s">
        <v>556</v>
      </c>
      <c r="K117" s="2020"/>
      <c r="L117" s="2021"/>
      <c r="M117" s="2021"/>
      <c r="N117" s="2022"/>
      <c r="O117" s="2022"/>
      <c r="P117" s="2022"/>
      <c r="Q117" s="2022"/>
      <c r="R117" s="2021"/>
      <c r="S117" s="2022"/>
      <c r="T117" s="2022"/>
      <c r="U117" s="2023"/>
      <c r="V117" s="2022"/>
      <c r="W117" s="2022"/>
      <c r="X117" s="2022"/>
      <c r="Y117" s="2022"/>
      <c r="Z117" s="2022"/>
      <c r="AA117" s="2024"/>
      <c r="AB117" s="2024"/>
      <c r="AC117" s="2024"/>
      <c r="AD117" s="2024"/>
      <c r="AE117" s="2024"/>
      <c r="AF117" s="2025">
        <v>0</v>
      </c>
    </row>
    <row r="118" spans="1:32" ht="123.75">
      <c r="A118" s="2012"/>
      <c r="B118" s="2022"/>
      <c r="C118" s="2021"/>
      <c r="D118" s="2015" t="s">
        <v>568</v>
      </c>
      <c r="E118" s="2016" t="str">
        <f>E109&amp;".8"</f>
        <v>7.8</v>
      </c>
      <c r="F118" s="2037" t="s">
        <v>602</v>
      </c>
      <c r="G118" s="2018" t="s">
        <v>555</v>
      </c>
      <c r="H118" s="2033"/>
      <c r="I118" s="2033">
        <v>1.32</v>
      </c>
      <c r="J118" s="2019" t="s">
        <v>556</v>
      </c>
      <c r="K118" s="2020"/>
      <c r="L118" s="2021"/>
      <c r="M118" s="2021"/>
      <c r="N118" s="2022"/>
      <c r="O118" s="2022"/>
      <c r="P118" s="2022"/>
      <c r="Q118" s="2022"/>
      <c r="R118" s="2021"/>
      <c r="S118" s="2022"/>
      <c r="T118" s="2022"/>
      <c r="U118" s="2023"/>
      <c r="V118" s="2022"/>
      <c r="W118" s="2022"/>
      <c r="X118" s="2022"/>
      <c r="Y118" s="2022"/>
      <c r="Z118" s="2022"/>
      <c r="AA118" s="2024"/>
      <c r="AB118" s="2024"/>
      <c r="AC118" s="2024"/>
      <c r="AD118" s="2024"/>
      <c r="AE118" s="2024"/>
      <c r="AF118" s="2025">
        <v>0</v>
      </c>
    </row>
    <row r="119" spans="1:32" ht="123.75">
      <c r="A119" s="2012"/>
      <c r="B119" s="2022"/>
      <c r="C119" s="2021"/>
      <c r="D119" s="2015" t="s">
        <v>568</v>
      </c>
      <c r="E119" s="2016" t="str">
        <f>E109&amp;".9"</f>
        <v>7.9</v>
      </c>
      <c r="F119" s="2037" t="s">
        <v>603</v>
      </c>
      <c r="G119" s="2018" t="s">
        <v>555</v>
      </c>
      <c r="H119" s="2033"/>
      <c r="I119" s="2033">
        <v>4.5</v>
      </c>
      <c r="J119" s="2019" t="s">
        <v>556</v>
      </c>
      <c r="K119" s="2020"/>
      <c r="L119" s="2021"/>
      <c r="M119" s="2021"/>
      <c r="N119" s="2022"/>
      <c r="O119" s="2022"/>
      <c r="P119" s="2022"/>
      <c r="Q119" s="2022"/>
      <c r="R119" s="2021"/>
      <c r="S119" s="2022"/>
      <c r="T119" s="2022"/>
      <c r="U119" s="2023"/>
      <c r="V119" s="2022"/>
      <c r="W119" s="2022"/>
      <c r="X119" s="2022"/>
      <c r="Y119" s="2022"/>
      <c r="Z119" s="2022"/>
      <c r="AA119" s="2024"/>
      <c r="AB119" s="2024"/>
      <c r="AC119" s="2024"/>
      <c r="AD119" s="2024"/>
      <c r="AE119" s="2024"/>
      <c r="AF119" s="2025">
        <v>0</v>
      </c>
    </row>
    <row r="120" spans="1:32" ht="123.75">
      <c r="A120" s="2012"/>
      <c r="B120" s="2022"/>
      <c r="C120" s="2021"/>
      <c r="D120" s="2015" t="s">
        <v>568</v>
      </c>
      <c r="E120" s="2016" t="str">
        <f>E109&amp;".10"</f>
        <v>7.10</v>
      </c>
      <c r="F120" s="2037" t="s">
        <v>604</v>
      </c>
      <c r="G120" s="2018" t="s">
        <v>555</v>
      </c>
      <c r="H120" s="2033"/>
      <c r="I120" s="2033">
        <v>0.20699999999999999</v>
      </c>
      <c r="J120" s="2019" t="s">
        <v>556</v>
      </c>
      <c r="K120" s="2020"/>
      <c r="L120" s="2021"/>
      <c r="M120" s="2021"/>
      <c r="N120" s="2022"/>
      <c r="O120" s="2022"/>
      <c r="P120" s="2022"/>
      <c r="Q120" s="2022"/>
      <c r="R120" s="2021"/>
      <c r="S120" s="2022"/>
      <c r="T120" s="2022"/>
      <c r="U120" s="2023"/>
      <c r="V120" s="2022"/>
      <c r="W120" s="2022"/>
      <c r="X120" s="2022"/>
      <c r="Y120" s="2022"/>
      <c r="Z120" s="2022"/>
      <c r="AA120" s="2024"/>
      <c r="AB120" s="2024"/>
      <c r="AC120" s="2024"/>
      <c r="AD120" s="2024"/>
      <c r="AE120" s="2024"/>
      <c r="AF120" s="2025">
        <v>0</v>
      </c>
    </row>
    <row r="121" spans="1:32" ht="123.75">
      <c r="A121" s="2012"/>
      <c r="B121" s="2022"/>
      <c r="C121" s="2021"/>
      <c r="D121" s="2015" t="s">
        <v>568</v>
      </c>
      <c r="E121" s="2016" t="str">
        <f>E109&amp;".11"</f>
        <v>7.11</v>
      </c>
      <c r="F121" s="2037" t="s">
        <v>605</v>
      </c>
      <c r="G121" s="2018" t="s">
        <v>555</v>
      </c>
      <c r="H121" s="2033"/>
      <c r="I121" s="2033">
        <v>0.48</v>
      </c>
      <c r="J121" s="2019" t="s">
        <v>556</v>
      </c>
      <c r="K121" s="2020"/>
      <c r="L121" s="2021"/>
      <c r="M121" s="2021"/>
      <c r="N121" s="2022"/>
      <c r="O121" s="2022"/>
      <c r="P121" s="2022"/>
      <c r="Q121" s="2022"/>
      <c r="R121" s="2021"/>
      <c r="S121" s="2022"/>
      <c r="T121" s="2022"/>
      <c r="U121" s="2023"/>
      <c r="V121" s="2022"/>
      <c r="W121" s="2022"/>
      <c r="X121" s="2022"/>
      <c r="Y121" s="2022"/>
      <c r="Z121" s="2022"/>
      <c r="AA121" s="2024"/>
      <c r="AB121" s="2024"/>
      <c r="AC121" s="2024"/>
      <c r="AD121" s="2024"/>
      <c r="AE121" s="2024"/>
      <c r="AF121" s="2025">
        <v>0</v>
      </c>
    </row>
    <row r="122" spans="1:32" ht="123.75">
      <c r="A122" s="2012"/>
      <c r="B122" s="2022"/>
      <c r="C122" s="2021"/>
      <c r="D122" s="2015" t="s">
        <v>568</v>
      </c>
      <c r="E122" s="2016" t="str">
        <f>E109&amp;".12"</f>
        <v>7.12</v>
      </c>
      <c r="F122" s="2037" t="s">
        <v>606</v>
      </c>
      <c r="G122" s="2018" t="s">
        <v>555</v>
      </c>
      <c r="H122" s="2033"/>
      <c r="I122" s="2033">
        <v>0.66</v>
      </c>
      <c r="J122" s="2019" t="s">
        <v>556</v>
      </c>
      <c r="K122" s="2020"/>
      <c r="L122" s="2021"/>
      <c r="M122" s="2021"/>
      <c r="N122" s="2022"/>
      <c r="O122" s="2022"/>
      <c r="P122" s="2022"/>
      <c r="Q122" s="2022"/>
      <c r="R122" s="2021"/>
      <c r="S122" s="2022"/>
      <c r="T122" s="2022"/>
      <c r="U122" s="2023"/>
      <c r="V122" s="2022"/>
      <c r="W122" s="2022"/>
      <c r="X122" s="2022"/>
      <c r="Y122" s="2022"/>
      <c r="Z122" s="2022"/>
      <c r="AA122" s="2024"/>
      <c r="AB122" s="2024"/>
      <c r="AC122" s="2024"/>
      <c r="AD122" s="2024"/>
      <c r="AE122" s="2024"/>
      <c r="AF122" s="2025">
        <v>0</v>
      </c>
    </row>
    <row r="123" spans="1:32" ht="123.75">
      <c r="A123" s="2012"/>
      <c r="B123" s="2022"/>
      <c r="C123" s="2021"/>
      <c r="D123" s="2015" t="s">
        <v>568</v>
      </c>
      <c r="E123" s="2016" t="str">
        <f>E109&amp;".13"</f>
        <v>7.13</v>
      </c>
      <c r="F123" s="2037" t="s">
        <v>607</v>
      </c>
      <c r="G123" s="2018" t="s">
        <v>555</v>
      </c>
      <c r="H123" s="2033"/>
      <c r="I123" s="2033">
        <v>0.66</v>
      </c>
      <c r="J123" s="2019" t="s">
        <v>556</v>
      </c>
      <c r="K123" s="2020"/>
      <c r="L123" s="2021"/>
      <c r="M123" s="2021"/>
      <c r="N123" s="2022"/>
      <c r="O123" s="2022"/>
      <c r="P123" s="2022"/>
      <c r="Q123" s="2022"/>
      <c r="R123" s="2021"/>
      <c r="S123" s="2022"/>
      <c r="T123" s="2022"/>
      <c r="U123" s="2023"/>
      <c r="V123" s="2022"/>
      <c r="W123" s="2022"/>
      <c r="X123" s="2022"/>
      <c r="Y123" s="2022"/>
      <c r="Z123" s="2022"/>
      <c r="AA123" s="2024"/>
      <c r="AB123" s="2024"/>
      <c r="AC123" s="2024"/>
      <c r="AD123" s="2024"/>
      <c r="AE123" s="2024"/>
      <c r="AF123" s="2025">
        <v>0</v>
      </c>
    </row>
    <row r="124" spans="1:32" ht="123.75">
      <c r="A124" s="2012"/>
      <c r="B124" s="2022"/>
      <c r="C124" s="2021"/>
      <c r="D124" s="2015" t="s">
        <v>568</v>
      </c>
      <c r="E124" s="2016" t="str">
        <f>E109&amp;".14"</f>
        <v>7.14</v>
      </c>
      <c r="F124" s="2037" t="s">
        <v>608</v>
      </c>
      <c r="G124" s="2018" t="s">
        <v>555</v>
      </c>
      <c r="H124" s="2033"/>
      <c r="I124" s="2033">
        <v>0.66</v>
      </c>
      <c r="J124" s="2019" t="s">
        <v>556</v>
      </c>
      <c r="K124" s="2020"/>
      <c r="L124" s="2021"/>
      <c r="M124" s="2021"/>
      <c r="N124" s="2022"/>
      <c r="O124" s="2022"/>
      <c r="P124" s="2022"/>
      <c r="Q124" s="2022"/>
      <c r="R124" s="2021"/>
      <c r="S124" s="2022"/>
      <c r="T124" s="2022"/>
      <c r="U124" s="2023"/>
      <c r="V124" s="2022"/>
      <c r="W124" s="2022"/>
      <c r="X124" s="2022"/>
      <c r="Y124" s="2022"/>
      <c r="Z124" s="2022"/>
      <c r="AA124" s="2024"/>
      <c r="AB124" s="2024"/>
      <c r="AC124" s="2024"/>
      <c r="AD124" s="2024"/>
      <c r="AE124" s="2024"/>
      <c r="AF124" s="2025">
        <v>0</v>
      </c>
    </row>
    <row r="125" spans="1:32" ht="123.75">
      <c r="A125" s="2012"/>
      <c r="B125" s="2022"/>
      <c r="C125" s="2021"/>
      <c r="D125" s="2015" t="s">
        <v>568</v>
      </c>
      <c r="E125" s="2016" t="str">
        <f>E109&amp;".15"</f>
        <v>7.15</v>
      </c>
      <c r="F125" s="2037" t="s">
        <v>609</v>
      </c>
      <c r="G125" s="2018" t="s">
        <v>555</v>
      </c>
      <c r="H125" s="2033"/>
      <c r="I125" s="2033">
        <v>0.34</v>
      </c>
      <c r="J125" s="2019" t="s">
        <v>556</v>
      </c>
      <c r="K125" s="2020"/>
      <c r="L125" s="2021"/>
      <c r="M125" s="2021"/>
      <c r="N125" s="2022"/>
      <c r="O125" s="2022"/>
      <c r="P125" s="2022"/>
      <c r="Q125" s="2022"/>
      <c r="R125" s="2021"/>
      <c r="S125" s="2022"/>
      <c r="T125" s="2022"/>
      <c r="U125" s="2023"/>
      <c r="V125" s="2022"/>
      <c r="W125" s="2022"/>
      <c r="X125" s="2022"/>
      <c r="Y125" s="2022"/>
      <c r="Z125" s="2022"/>
      <c r="AA125" s="2024"/>
      <c r="AB125" s="2024"/>
      <c r="AC125" s="2024"/>
      <c r="AD125" s="2024"/>
      <c r="AE125" s="2024"/>
      <c r="AF125" s="2025">
        <v>0</v>
      </c>
    </row>
    <row r="126" spans="1:32" ht="123.75">
      <c r="A126" s="2012"/>
      <c r="B126" s="2022"/>
      <c r="C126" s="2021"/>
      <c r="D126" s="2015" t="s">
        <v>568</v>
      </c>
      <c r="E126" s="2016" t="str">
        <f>E109&amp;".16"</f>
        <v>7.16</v>
      </c>
      <c r="F126" s="2037" t="s">
        <v>610</v>
      </c>
      <c r="G126" s="2018" t="s">
        <v>555</v>
      </c>
      <c r="H126" s="2033"/>
      <c r="I126" s="2033">
        <v>0.1</v>
      </c>
      <c r="J126" s="2019" t="s">
        <v>556</v>
      </c>
      <c r="K126" s="2020"/>
      <c r="L126" s="2021"/>
      <c r="M126" s="2021"/>
      <c r="N126" s="2022"/>
      <c r="O126" s="2022"/>
      <c r="P126" s="2022"/>
      <c r="Q126" s="2022"/>
      <c r="R126" s="2021"/>
      <c r="S126" s="2022"/>
      <c r="T126" s="2022"/>
      <c r="U126" s="2023"/>
      <c r="V126" s="2022"/>
      <c r="W126" s="2022"/>
      <c r="X126" s="2022"/>
      <c r="Y126" s="2022"/>
      <c r="Z126" s="2022"/>
      <c r="AA126" s="2024"/>
      <c r="AB126" s="2024"/>
      <c r="AC126" s="2024"/>
      <c r="AD126" s="2024"/>
      <c r="AE126" s="2024"/>
      <c r="AF126" s="2025">
        <v>0</v>
      </c>
    </row>
    <row r="127" spans="1:32" ht="123.75">
      <c r="A127" s="2012"/>
      <c r="B127" s="2022"/>
      <c r="C127" s="2021"/>
      <c r="D127" s="2015" t="s">
        <v>568</v>
      </c>
      <c r="E127" s="2016" t="str">
        <f>E109&amp;".17"</f>
        <v>7.17</v>
      </c>
      <c r="F127" s="2037" t="s">
        <v>611</v>
      </c>
      <c r="G127" s="2018" t="s">
        <v>555</v>
      </c>
      <c r="H127" s="2033"/>
      <c r="I127" s="2033">
        <v>0.24</v>
      </c>
      <c r="J127" s="2019" t="s">
        <v>556</v>
      </c>
      <c r="K127" s="2020"/>
      <c r="L127" s="2021"/>
      <c r="M127" s="2021"/>
      <c r="N127" s="2022"/>
      <c r="O127" s="2022"/>
      <c r="P127" s="2022"/>
      <c r="Q127" s="2022"/>
      <c r="R127" s="2021"/>
      <c r="S127" s="2022"/>
      <c r="T127" s="2022"/>
      <c r="U127" s="2023"/>
      <c r="V127" s="2022"/>
      <c r="W127" s="2022"/>
      <c r="X127" s="2022"/>
      <c r="Y127" s="2022"/>
      <c r="Z127" s="2022"/>
      <c r="AA127" s="2024"/>
      <c r="AB127" s="2024"/>
      <c r="AC127" s="2024"/>
      <c r="AD127" s="2024"/>
      <c r="AE127" s="2024"/>
      <c r="AF127" s="2025">
        <v>0</v>
      </c>
    </row>
    <row r="128" spans="1:32" ht="123.75">
      <c r="A128" s="2012"/>
      <c r="B128" s="2022"/>
      <c r="C128" s="2021"/>
      <c r="D128" s="2015" t="s">
        <v>568</v>
      </c>
      <c r="E128" s="2016" t="str">
        <f>E109&amp;".18"</f>
        <v>7.18</v>
      </c>
      <c r="F128" s="2037" t="s">
        <v>612</v>
      </c>
      <c r="G128" s="2018" t="s">
        <v>555</v>
      </c>
      <c r="H128" s="2033"/>
      <c r="I128" s="2033">
        <v>0.16</v>
      </c>
      <c r="J128" s="2019" t="s">
        <v>556</v>
      </c>
      <c r="K128" s="2020"/>
      <c r="L128" s="2021"/>
      <c r="M128" s="2021"/>
      <c r="N128" s="2022"/>
      <c r="O128" s="2022"/>
      <c r="P128" s="2022"/>
      <c r="Q128" s="2022"/>
      <c r="R128" s="2021"/>
      <c r="S128" s="2022"/>
      <c r="T128" s="2022"/>
      <c r="U128" s="2023"/>
      <c r="V128" s="2022"/>
      <c r="W128" s="2022"/>
      <c r="X128" s="2022"/>
      <c r="Y128" s="2022"/>
      <c r="Z128" s="2022"/>
      <c r="AA128" s="2024"/>
      <c r="AB128" s="2024"/>
      <c r="AC128" s="2024"/>
      <c r="AD128" s="2024"/>
      <c r="AE128" s="2024"/>
      <c r="AF128" s="2025">
        <v>0</v>
      </c>
    </row>
    <row r="129" spans="1:32" ht="123.75">
      <c r="A129" s="2012"/>
      <c r="B129" s="2022"/>
      <c r="C129" s="2021"/>
      <c r="D129" s="2015" t="s">
        <v>568</v>
      </c>
      <c r="E129" s="2016" t="str">
        <f>E109&amp;".19"</f>
        <v>7.19</v>
      </c>
      <c r="F129" s="2037" t="s">
        <v>613</v>
      </c>
      <c r="G129" s="2018" t="s">
        <v>555</v>
      </c>
      <c r="H129" s="2033"/>
      <c r="I129" s="2033">
        <v>4.5</v>
      </c>
      <c r="J129" s="2019" t="s">
        <v>556</v>
      </c>
      <c r="K129" s="2020"/>
      <c r="L129" s="2021"/>
      <c r="M129" s="2021"/>
      <c r="N129" s="2022"/>
      <c r="O129" s="2022"/>
      <c r="P129" s="2022"/>
      <c r="Q129" s="2022"/>
      <c r="R129" s="2021"/>
      <c r="S129" s="2022"/>
      <c r="T129" s="2022"/>
      <c r="U129" s="2023"/>
      <c r="V129" s="2022"/>
      <c r="W129" s="2022"/>
      <c r="X129" s="2022"/>
      <c r="Y129" s="2022"/>
      <c r="Z129" s="2022"/>
      <c r="AA129" s="2024"/>
      <c r="AB129" s="2024"/>
      <c r="AC129" s="2024"/>
      <c r="AD129" s="2024"/>
      <c r="AE129" s="2024"/>
      <c r="AF129" s="2025">
        <v>0</v>
      </c>
    </row>
    <row r="130" spans="1:32" ht="123.75">
      <c r="A130" s="2012"/>
      <c r="B130" s="2022"/>
      <c r="C130" s="2021"/>
      <c r="D130" s="2015" t="s">
        <v>568</v>
      </c>
      <c r="E130" s="2016" t="str">
        <f>E109&amp;".20"</f>
        <v>7.20</v>
      </c>
      <c r="F130" s="2037" t="s">
        <v>614</v>
      </c>
      <c r="G130" s="2018" t="s">
        <v>555</v>
      </c>
      <c r="H130" s="2033"/>
      <c r="I130" s="2033">
        <v>0.13800000000000001</v>
      </c>
      <c r="J130" s="2019" t="s">
        <v>556</v>
      </c>
      <c r="K130" s="2020"/>
      <c r="L130" s="2021"/>
      <c r="M130" s="2021"/>
      <c r="N130" s="2022"/>
      <c r="O130" s="2022"/>
      <c r="P130" s="2022"/>
      <c r="Q130" s="2022"/>
      <c r="R130" s="2021"/>
      <c r="S130" s="2022"/>
      <c r="T130" s="2022"/>
      <c r="U130" s="2023"/>
      <c r="V130" s="2022"/>
      <c r="W130" s="2022"/>
      <c r="X130" s="2022"/>
      <c r="Y130" s="2022"/>
      <c r="Z130" s="2022"/>
      <c r="AA130" s="2024"/>
      <c r="AB130" s="2024"/>
      <c r="AC130" s="2024"/>
      <c r="AD130" s="2024"/>
      <c r="AE130" s="2024"/>
      <c r="AF130" s="2025">
        <v>0</v>
      </c>
    </row>
    <row r="131" spans="1:32" ht="123.75">
      <c r="A131" s="2012"/>
      <c r="B131" s="2022"/>
      <c r="C131" s="2021"/>
      <c r="D131" s="2015" t="s">
        <v>568</v>
      </c>
      <c r="E131" s="2016" t="str">
        <f>E109&amp;".21"</f>
        <v>7.21</v>
      </c>
      <c r="F131" s="2037" t="s">
        <v>615</v>
      </c>
      <c r="G131" s="2018" t="s">
        <v>555</v>
      </c>
      <c r="H131" s="2033"/>
      <c r="I131" s="2033">
        <v>0.155</v>
      </c>
      <c r="J131" s="2019" t="s">
        <v>556</v>
      </c>
      <c r="K131" s="2020"/>
      <c r="L131" s="2021"/>
      <c r="M131" s="2021"/>
      <c r="N131" s="2022"/>
      <c r="O131" s="2022"/>
      <c r="P131" s="2022"/>
      <c r="Q131" s="2022"/>
      <c r="R131" s="2021"/>
      <c r="S131" s="2022"/>
      <c r="T131" s="2022"/>
      <c r="U131" s="2023"/>
      <c r="V131" s="2022"/>
      <c r="W131" s="2022"/>
      <c r="X131" s="2022"/>
      <c r="Y131" s="2022"/>
      <c r="Z131" s="2022"/>
      <c r="AA131" s="2024"/>
      <c r="AB131" s="2024"/>
      <c r="AC131" s="2024"/>
      <c r="AD131" s="2024"/>
      <c r="AE131" s="2024"/>
      <c r="AF131" s="2025">
        <v>0</v>
      </c>
    </row>
    <row r="132" spans="1:32" ht="123.75">
      <c r="A132" s="2012"/>
      <c r="B132" s="2022"/>
      <c r="C132" s="2021"/>
      <c r="D132" s="2015" t="s">
        <v>568</v>
      </c>
      <c r="E132" s="2016" t="str">
        <f>E109&amp;".22"</f>
        <v>7.22</v>
      </c>
      <c r="F132" s="2037" t="s">
        <v>616</v>
      </c>
      <c r="G132" s="2018" t="s">
        <v>555</v>
      </c>
      <c r="H132" s="2033"/>
      <c r="I132" s="2033">
        <v>5</v>
      </c>
      <c r="J132" s="2019" t="s">
        <v>556</v>
      </c>
      <c r="K132" s="2020"/>
      <c r="L132" s="2021"/>
      <c r="M132" s="2021"/>
      <c r="N132" s="2022"/>
      <c r="O132" s="2022"/>
      <c r="P132" s="2022"/>
      <c r="Q132" s="2022"/>
      <c r="R132" s="2021"/>
      <c r="S132" s="2022"/>
      <c r="T132" s="2022"/>
      <c r="U132" s="2023"/>
      <c r="V132" s="2022"/>
      <c r="W132" s="2022"/>
      <c r="X132" s="2022"/>
      <c r="Y132" s="2022"/>
      <c r="Z132" s="2022"/>
      <c r="AA132" s="2024"/>
      <c r="AB132" s="2024"/>
      <c r="AC132" s="2024"/>
      <c r="AD132" s="2024"/>
      <c r="AE132" s="2024"/>
      <c r="AF132" s="2025">
        <v>0</v>
      </c>
    </row>
    <row r="133" spans="1:32" ht="123.75">
      <c r="A133" s="2012"/>
      <c r="B133" s="2022"/>
      <c r="C133" s="2021"/>
      <c r="D133" s="2015" t="s">
        <v>568</v>
      </c>
      <c r="E133" s="2016" t="str">
        <f>E109&amp;".23"</f>
        <v>7.23</v>
      </c>
      <c r="F133" s="2037" t="s">
        <v>617</v>
      </c>
      <c r="G133" s="2018" t="s">
        <v>555</v>
      </c>
      <c r="H133" s="2033"/>
      <c r="I133" s="2033">
        <v>74.900000000000006</v>
      </c>
      <c r="J133" s="2019" t="s">
        <v>556</v>
      </c>
      <c r="K133" s="2020"/>
      <c r="L133" s="2021"/>
      <c r="M133" s="2021"/>
      <c r="N133" s="2022"/>
      <c r="O133" s="2022"/>
      <c r="P133" s="2022"/>
      <c r="Q133" s="2022"/>
      <c r="R133" s="2021"/>
      <c r="S133" s="2022"/>
      <c r="T133" s="2022"/>
      <c r="U133" s="2023"/>
      <c r="V133" s="2022"/>
      <c r="W133" s="2022"/>
      <c r="X133" s="2022"/>
      <c r="Y133" s="2022"/>
      <c r="Z133" s="2022"/>
      <c r="AA133" s="2024"/>
      <c r="AB133" s="2024"/>
      <c r="AC133" s="2024"/>
      <c r="AD133" s="2024"/>
      <c r="AE133" s="2024"/>
      <c r="AF133" s="2025">
        <v>0</v>
      </c>
    </row>
    <row r="134" spans="1:32" ht="123.75">
      <c r="A134" s="2012"/>
      <c r="B134" s="2022"/>
      <c r="C134" s="2021"/>
      <c r="D134" s="2015" t="s">
        <v>568</v>
      </c>
      <c r="E134" s="2016" t="str">
        <f>E109&amp;".24"</f>
        <v>7.24</v>
      </c>
      <c r="F134" s="2037" t="s">
        <v>618</v>
      </c>
      <c r="G134" s="2018" t="s">
        <v>555</v>
      </c>
      <c r="H134" s="2033"/>
      <c r="I134" s="2033">
        <v>61.5</v>
      </c>
      <c r="J134" s="2019" t="s">
        <v>556</v>
      </c>
      <c r="K134" s="2020"/>
      <c r="L134" s="2021"/>
      <c r="M134" s="2021"/>
      <c r="N134" s="2022"/>
      <c r="O134" s="2022"/>
      <c r="P134" s="2022"/>
      <c r="Q134" s="2022"/>
      <c r="R134" s="2021"/>
      <c r="S134" s="2022"/>
      <c r="T134" s="2022"/>
      <c r="U134" s="2023"/>
      <c r="V134" s="2022"/>
      <c r="W134" s="2022"/>
      <c r="X134" s="2022"/>
      <c r="Y134" s="2022"/>
      <c r="Z134" s="2022"/>
      <c r="AA134" s="2024"/>
      <c r="AB134" s="2024"/>
      <c r="AC134" s="2024"/>
      <c r="AD134" s="2024"/>
      <c r="AE134" s="2024"/>
      <c r="AF134" s="2025">
        <v>0</v>
      </c>
    </row>
    <row r="135" spans="1:32" ht="123.75">
      <c r="A135" s="2012"/>
      <c r="B135" s="2022"/>
      <c r="C135" s="2021"/>
      <c r="D135" s="2015" t="s">
        <v>568</v>
      </c>
      <c r="E135" s="2016" t="str">
        <f>E109&amp;".25"</f>
        <v>7.25</v>
      </c>
      <c r="F135" s="2037" t="s">
        <v>619</v>
      </c>
      <c r="G135" s="2018" t="s">
        <v>555</v>
      </c>
      <c r="H135" s="2033"/>
      <c r="I135" s="2033">
        <v>9.01</v>
      </c>
      <c r="J135" s="2019" t="s">
        <v>556</v>
      </c>
      <c r="K135" s="2020"/>
      <c r="L135" s="2021"/>
      <c r="M135" s="2021"/>
      <c r="N135" s="2022"/>
      <c r="O135" s="2022"/>
      <c r="P135" s="2022"/>
      <c r="Q135" s="2022"/>
      <c r="R135" s="2021"/>
      <c r="S135" s="2022"/>
      <c r="T135" s="2022"/>
      <c r="U135" s="2023"/>
      <c r="V135" s="2022"/>
      <c r="W135" s="2022"/>
      <c r="X135" s="2022"/>
      <c r="Y135" s="2022"/>
      <c r="Z135" s="2022"/>
      <c r="AA135" s="2024"/>
      <c r="AB135" s="2024"/>
      <c r="AC135" s="2024"/>
      <c r="AD135" s="2024"/>
      <c r="AE135" s="2024"/>
      <c r="AF135" s="2025">
        <v>0</v>
      </c>
    </row>
    <row r="136" spans="1:32" ht="123.75">
      <c r="A136" s="2012"/>
      <c r="B136" s="2022"/>
      <c r="C136" s="2021"/>
      <c r="D136" s="2015" t="s">
        <v>568</v>
      </c>
      <c r="E136" s="2016" t="str">
        <f>E109&amp;".26"</f>
        <v>7.26</v>
      </c>
      <c r="F136" s="2037" t="s">
        <v>620</v>
      </c>
      <c r="G136" s="2018" t="s">
        <v>555</v>
      </c>
      <c r="H136" s="2033"/>
      <c r="I136" s="2033">
        <v>5.5</v>
      </c>
      <c r="J136" s="2019" t="s">
        <v>556</v>
      </c>
      <c r="K136" s="2020"/>
      <c r="L136" s="2021"/>
      <c r="M136" s="2021"/>
      <c r="N136" s="2022"/>
      <c r="O136" s="2022"/>
      <c r="P136" s="2022"/>
      <c r="Q136" s="2022"/>
      <c r="R136" s="2021"/>
      <c r="S136" s="2022"/>
      <c r="T136" s="2022"/>
      <c r="U136" s="2023"/>
      <c r="V136" s="2022"/>
      <c r="W136" s="2022"/>
      <c r="X136" s="2022"/>
      <c r="Y136" s="2022"/>
      <c r="Z136" s="2022"/>
      <c r="AA136" s="2024"/>
      <c r="AB136" s="2024"/>
      <c r="AC136" s="2024"/>
      <c r="AD136" s="2024"/>
      <c r="AE136" s="2024"/>
      <c r="AF136" s="2025">
        <v>0</v>
      </c>
    </row>
    <row r="137" spans="1:32" ht="123.75">
      <c r="A137" s="2012"/>
      <c r="B137" s="2022"/>
      <c r="C137" s="2021"/>
      <c r="D137" s="2015" t="s">
        <v>568</v>
      </c>
      <c r="E137" s="2016" t="str">
        <f>E109&amp;".27"</f>
        <v>7.27</v>
      </c>
      <c r="F137" s="2037" t="s">
        <v>621</v>
      </c>
      <c r="G137" s="2018" t="s">
        <v>555</v>
      </c>
      <c r="H137" s="2033"/>
      <c r="I137" s="2033">
        <v>4.5</v>
      </c>
      <c r="J137" s="2019" t="s">
        <v>556</v>
      </c>
      <c r="K137" s="2020"/>
      <c r="L137" s="2021"/>
      <c r="M137" s="2021"/>
      <c r="N137" s="2022"/>
      <c r="O137" s="2022"/>
      <c r="P137" s="2022"/>
      <c r="Q137" s="2022"/>
      <c r="R137" s="2021"/>
      <c r="S137" s="2022"/>
      <c r="T137" s="2022"/>
      <c r="U137" s="2023"/>
      <c r="V137" s="2022"/>
      <c r="W137" s="2022"/>
      <c r="X137" s="2022"/>
      <c r="Y137" s="2022"/>
      <c r="Z137" s="2022"/>
      <c r="AA137" s="2024"/>
      <c r="AB137" s="2024"/>
      <c r="AC137" s="2024"/>
      <c r="AD137" s="2024"/>
      <c r="AE137" s="2024"/>
      <c r="AF137" s="2025">
        <v>0</v>
      </c>
    </row>
    <row r="138" spans="1:32" ht="123.75">
      <c r="A138" s="2012"/>
      <c r="B138" s="2022"/>
      <c r="C138" s="2021"/>
      <c r="D138" s="2015" t="s">
        <v>568</v>
      </c>
      <c r="E138" s="2016" t="str">
        <f>E109&amp;".28"</f>
        <v>7.28</v>
      </c>
      <c r="F138" s="2037" t="s">
        <v>622</v>
      </c>
      <c r="G138" s="2018" t="s">
        <v>555</v>
      </c>
      <c r="H138" s="2033"/>
      <c r="I138" s="2033">
        <v>9.5</v>
      </c>
      <c r="J138" s="2019" t="s">
        <v>556</v>
      </c>
      <c r="K138" s="2020"/>
      <c r="L138" s="2021"/>
      <c r="M138" s="2021"/>
      <c r="N138" s="2022"/>
      <c r="O138" s="2022"/>
      <c r="P138" s="2022"/>
      <c r="Q138" s="2022"/>
      <c r="R138" s="2021"/>
      <c r="S138" s="2022"/>
      <c r="T138" s="2022"/>
      <c r="U138" s="2023"/>
      <c r="V138" s="2022"/>
      <c r="W138" s="2022"/>
      <c r="X138" s="2022"/>
      <c r="Y138" s="2022"/>
      <c r="Z138" s="2022"/>
      <c r="AA138" s="2024"/>
      <c r="AB138" s="2024"/>
      <c r="AC138" s="2024"/>
      <c r="AD138" s="2024"/>
      <c r="AE138" s="2024"/>
      <c r="AF138" s="2025">
        <v>0</v>
      </c>
    </row>
    <row r="139" spans="1:32" ht="123.75">
      <c r="A139" s="2012"/>
      <c r="B139" s="2022"/>
      <c r="C139" s="2021"/>
      <c r="D139" s="2015" t="s">
        <v>568</v>
      </c>
      <c r="E139" s="2016" t="str">
        <f>E109&amp;".29"</f>
        <v>7.29</v>
      </c>
      <c r="F139" s="2037" t="s">
        <v>623</v>
      </c>
      <c r="G139" s="2018" t="s">
        <v>555</v>
      </c>
      <c r="H139" s="2033"/>
      <c r="I139" s="2033">
        <v>0.52</v>
      </c>
      <c r="J139" s="2019" t="s">
        <v>556</v>
      </c>
      <c r="K139" s="2020"/>
      <c r="L139" s="2021"/>
      <c r="M139" s="2021"/>
      <c r="N139" s="2022"/>
      <c r="O139" s="2022"/>
      <c r="P139" s="2022"/>
      <c r="Q139" s="2022"/>
      <c r="R139" s="2021"/>
      <c r="S139" s="2022"/>
      <c r="T139" s="2022"/>
      <c r="U139" s="2023"/>
      <c r="V139" s="2022"/>
      <c r="W139" s="2022"/>
      <c r="X139" s="2022"/>
      <c r="Y139" s="2022"/>
      <c r="Z139" s="2022"/>
      <c r="AA139" s="2024"/>
      <c r="AB139" s="2024"/>
      <c r="AC139" s="2024"/>
      <c r="AD139" s="2024"/>
      <c r="AE139" s="2024"/>
      <c r="AF139" s="2025">
        <v>0</v>
      </c>
    </row>
    <row r="140" spans="1:32" ht="123.75">
      <c r="A140" s="2012"/>
      <c r="B140" s="2022"/>
      <c r="C140" s="2021"/>
      <c r="D140" s="2015" t="s">
        <v>568</v>
      </c>
      <c r="E140" s="2016" t="str">
        <f>E109&amp;".30"</f>
        <v>7.30</v>
      </c>
      <c r="F140" s="2037" t="s">
        <v>624</v>
      </c>
      <c r="G140" s="2018" t="s">
        <v>555</v>
      </c>
      <c r="H140" s="2033"/>
      <c r="I140" s="2033">
        <v>2.25</v>
      </c>
      <c r="J140" s="2019" t="s">
        <v>556</v>
      </c>
      <c r="K140" s="2020"/>
      <c r="L140" s="2021"/>
      <c r="M140" s="2021"/>
      <c r="N140" s="2022"/>
      <c r="O140" s="2022"/>
      <c r="P140" s="2022"/>
      <c r="Q140" s="2022"/>
      <c r="R140" s="2021"/>
      <c r="S140" s="2022"/>
      <c r="T140" s="2022"/>
      <c r="U140" s="2023"/>
      <c r="V140" s="2022"/>
      <c r="W140" s="2022"/>
      <c r="X140" s="2022"/>
      <c r="Y140" s="2022"/>
      <c r="Z140" s="2022"/>
      <c r="AA140" s="2024"/>
      <c r="AB140" s="2024"/>
      <c r="AC140" s="2024"/>
      <c r="AD140" s="2024"/>
      <c r="AE140" s="2024"/>
      <c r="AF140" s="2025">
        <v>0</v>
      </c>
    </row>
    <row r="141" spans="1:32" ht="123.75">
      <c r="A141" s="2012"/>
      <c r="B141" s="2022"/>
      <c r="C141" s="2021"/>
      <c r="D141" s="2015" t="s">
        <v>568</v>
      </c>
      <c r="E141" s="2016" t="str">
        <f>E109&amp;".31"</f>
        <v>7.31</v>
      </c>
      <c r="F141" s="2037" t="s">
        <v>625</v>
      </c>
      <c r="G141" s="2018" t="s">
        <v>555</v>
      </c>
      <c r="H141" s="2033"/>
      <c r="I141" s="2033">
        <v>0.66</v>
      </c>
      <c r="J141" s="2019" t="s">
        <v>556</v>
      </c>
      <c r="K141" s="2020"/>
      <c r="L141" s="2021"/>
      <c r="M141" s="2021"/>
      <c r="N141" s="2022"/>
      <c r="O141" s="2022"/>
      <c r="P141" s="2022"/>
      <c r="Q141" s="2022"/>
      <c r="R141" s="2021"/>
      <c r="S141" s="2022"/>
      <c r="T141" s="2022"/>
      <c r="U141" s="2023"/>
      <c r="V141" s="2022"/>
      <c r="W141" s="2022"/>
      <c r="X141" s="2022"/>
      <c r="Y141" s="2022"/>
      <c r="Z141" s="2022"/>
      <c r="AA141" s="2024"/>
      <c r="AB141" s="2024"/>
      <c r="AC141" s="2024"/>
      <c r="AD141" s="2024"/>
      <c r="AE141" s="2024"/>
      <c r="AF141" s="2025">
        <v>0</v>
      </c>
    </row>
    <row r="142" spans="1:32" ht="123.75">
      <c r="A142" s="2012"/>
      <c r="B142" s="2022"/>
      <c r="C142" s="2021"/>
      <c r="D142" s="2015" t="s">
        <v>568</v>
      </c>
      <c r="E142" s="2016" t="str">
        <f>E109&amp;".32"</f>
        <v>7.32</v>
      </c>
      <c r="F142" s="2037" t="s">
        <v>626</v>
      </c>
      <c r="G142" s="2018" t="s">
        <v>555</v>
      </c>
      <c r="H142" s="2033"/>
      <c r="I142" s="2033">
        <v>2.25</v>
      </c>
      <c r="J142" s="2019" t="s">
        <v>556</v>
      </c>
      <c r="K142" s="2020"/>
      <c r="L142" s="2021"/>
      <c r="M142" s="2021"/>
      <c r="N142" s="2022"/>
      <c r="O142" s="2022"/>
      <c r="P142" s="2022"/>
      <c r="Q142" s="2022"/>
      <c r="R142" s="2021"/>
      <c r="S142" s="2022"/>
      <c r="T142" s="2022"/>
      <c r="U142" s="2023"/>
      <c r="V142" s="2022"/>
      <c r="W142" s="2022"/>
      <c r="X142" s="2022"/>
      <c r="Y142" s="2022"/>
      <c r="Z142" s="2022"/>
      <c r="AA142" s="2024"/>
      <c r="AB142" s="2024"/>
      <c r="AC142" s="2024"/>
      <c r="AD142" s="2024"/>
      <c r="AE142" s="2024"/>
      <c r="AF142" s="2025">
        <v>0</v>
      </c>
    </row>
    <row r="143" spans="1:32" ht="123.75">
      <c r="A143" s="2012"/>
      <c r="B143" s="2022"/>
      <c r="C143" s="2021"/>
      <c r="D143" s="2015" t="s">
        <v>568</v>
      </c>
      <c r="E143" s="2016" t="str">
        <f>E109&amp;".33"</f>
        <v>7.33</v>
      </c>
      <c r="F143" s="2037" t="s">
        <v>627</v>
      </c>
      <c r="G143" s="2018" t="s">
        <v>555</v>
      </c>
      <c r="H143" s="2033"/>
      <c r="I143" s="2033">
        <v>4.5</v>
      </c>
      <c r="J143" s="2019" t="s">
        <v>556</v>
      </c>
      <c r="K143" s="2020"/>
      <c r="L143" s="2021"/>
      <c r="M143" s="2021"/>
      <c r="N143" s="2022"/>
      <c r="O143" s="2022"/>
      <c r="P143" s="2022"/>
      <c r="Q143" s="2022"/>
      <c r="R143" s="2021"/>
      <c r="S143" s="2022"/>
      <c r="T143" s="2022"/>
      <c r="U143" s="2023"/>
      <c r="V143" s="2022"/>
      <c r="W143" s="2022"/>
      <c r="X143" s="2022"/>
      <c r="Y143" s="2022"/>
      <c r="Z143" s="2022"/>
      <c r="AA143" s="2024"/>
      <c r="AB143" s="2024"/>
      <c r="AC143" s="2024"/>
      <c r="AD143" s="2024"/>
      <c r="AE143" s="2024"/>
      <c r="AF143" s="2025">
        <v>0</v>
      </c>
    </row>
    <row r="144" spans="1:32" ht="123.75">
      <c r="A144" s="2012"/>
      <c r="B144" s="2022"/>
      <c r="C144" s="2021"/>
      <c r="D144" s="2015" t="s">
        <v>568</v>
      </c>
      <c r="E144" s="2016" t="str">
        <f>E109&amp;".34"</f>
        <v>7.34</v>
      </c>
      <c r="F144" s="2037" t="s">
        <v>628</v>
      </c>
      <c r="G144" s="2018" t="s">
        <v>555</v>
      </c>
      <c r="H144" s="2033"/>
      <c r="I144" s="2033">
        <v>0.17199999999999999</v>
      </c>
      <c r="J144" s="2019" t="s">
        <v>556</v>
      </c>
      <c r="K144" s="2020"/>
      <c r="L144" s="2021"/>
      <c r="M144" s="2021"/>
      <c r="N144" s="2022"/>
      <c r="O144" s="2022"/>
      <c r="P144" s="2022"/>
      <c r="Q144" s="2022"/>
      <c r="R144" s="2021"/>
      <c r="S144" s="2022"/>
      <c r="T144" s="2022"/>
      <c r="U144" s="2023"/>
      <c r="V144" s="2022"/>
      <c r="W144" s="2022"/>
      <c r="X144" s="2022"/>
      <c r="Y144" s="2022"/>
      <c r="Z144" s="2022"/>
      <c r="AA144" s="2024"/>
      <c r="AB144" s="2024"/>
      <c r="AC144" s="2024"/>
      <c r="AD144" s="2024"/>
      <c r="AE144" s="2024"/>
      <c r="AF144" s="2025">
        <v>0</v>
      </c>
    </row>
    <row r="145" spans="1:32" ht="123.75">
      <c r="A145" s="2012"/>
      <c r="B145" s="2022"/>
      <c r="C145" s="2021"/>
      <c r="D145" s="2015" t="s">
        <v>568</v>
      </c>
      <c r="E145" s="2016" t="str">
        <f>E109&amp;".35"</f>
        <v>7.35</v>
      </c>
      <c r="F145" s="2037" t="s">
        <v>629</v>
      </c>
      <c r="G145" s="2018" t="s">
        <v>555</v>
      </c>
      <c r="H145" s="2033"/>
      <c r="I145" s="2033">
        <v>0.17</v>
      </c>
      <c r="J145" s="2019" t="s">
        <v>556</v>
      </c>
      <c r="K145" s="2020"/>
      <c r="L145" s="2021"/>
      <c r="M145" s="2021"/>
      <c r="N145" s="2022"/>
      <c r="O145" s="2022"/>
      <c r="P145" s="2022"/>
      <c r="Q145" s="2022"/>
      <c r="R145" s="2021"/>
      <c r="S145" s="2022"/>
      <c r="T145" s="2022"/>
      <c r="U145" s="2023"/>
      <c r="V145" s="2022"/>
      <c r="W145" s="2022"/>
      <c r="X145" s="2022"/>
      <c r="Y145" s="2022"/>
      <c r="Z145" s="2022"/>
      <c r="AA145" s="2024"/>
      <c r="AB145" s="2024"/>
      <c r="AC145" s="2024"/>
      <c r="AD145" s="2024"/>
      <c r="AE145" s="2024"/>
      <c r="AF145" s="2025">
        <v>0</v>
      </c>
    </row>
    <row r="146" spans="1:32" ht="123.75">
      <c r="A146" s="2012"/>
      <c r="B146" s="2022"/>
      <c r="C146" s="2021"/>
      <c r="D146" s="2015" t="s">
        <v>568</v>
      </c>
      <c r="E146" s="2016" t="str">
        <f>E109&amp;".36"</f>
        <v>7.36</v>
      </c>
      <c r="F146" s="2037" t="s">
        <v>630</v>
      </c>
      <c r="G146" s="2018" t="s">
        <v>555</v>
      </c>
      <c r="H146" s="2033"/>
      <c r="I146" s="2033">
        <v>0.25800000000000001</v>
      </c>
      <c r="J146" s="2019" t="s">
        <v>556</v>
      </c>
      <c r="K146" s="2020"/>
      <c r="L146" s="2021"/>
      <c r="M146" s="2021"/>
      <c r="N146" s="2022"/>
      <c r="O146" s="2022"/>
      <c r="P146" s="2022"/>
      <c r="Q146" s="2022"/>
      <c r="R146" s="2021"/>
      <c r="S146" s="2022"/>
      <c r="T146" s="2022"/>
      <c r="U146" s="2023"/>
      <c r="V146" s="2022"/>
      <c r="W146" s="2022"/>
      <c r="X146" s="2022"/>
      <c r="Y146" s="2022"/>
      <c r="Z146" s="2022"/>
      <c r="AA146" s="2024"/>
      <c r="AB146" s="2024"/>
      <c r="AC146" s="2024"/>
      <c r="AD146" s="2024"/>
      <c r="AE146" s="2024"/>
      <c r="AF146" s="2025">
        <v>0</v>
      </c>
    </row>
    <row r="147" spans="1:32" ht="123.75">
      <c r="A147" s="2012"/>
      <c r="B147" s="2022"/>
      <c r="C147" s="2021"/>
      <c r="D147" s="2015" t="s">
        <v>568</v>
      </c>
      <c r="E147" s="2016" t="str">
        <f>E109&amp;".37"</f>
        <v>7.37</v>
      </c>
      <c r="F147" s="2037" t="s">
        <v>631</v>
      </c>
      <c r="G147" s="2018" t="s">
        <v>555</v>
      </c>
      <c r="H147" s="2033"/>
      <c r="I147" s="2033">
        <v>0.1</v>
      </c>
      <c r="J147" s="2019" t="s">
        <v>556</v>
      </c>
      <c r="K147" s="2020"/>
      <c r="L147" s="2021"/>
      <c r="M147" s="2021"/>
      <c r="N147" s="2022"/>
      <c r="O147" s="2022"/>
      <c r="P147" s="2022"/>
      <c r="Q147" s="2022"/>
      <c r="R147" s="2021"/>
      <c r="S147" s="2022"/>
      <c r="T147" s="2022"/>
      <c r="U147" s="2023"/>
      <c r="V147" s="2022"/>
      <c r="W147" s="2022"/>
      <c r="X147" s="2022"/>
      <c r="Y147" s="2022"/>
      <c r="Z147" s="2022"/>
      <c r="AA147" s="2024"/>
      <c r="AB147" s="2024"/>
      <c r="AC147" s="2024"/>
      <c r="AD147" s="2024"/>
      <c r="AE147" s="2024"/>
      <c r="AF147" s="2025">
        <v>0</v>
      </c>
    </row>
    <row r="148" spans="1:32" ht="123.75">
      <c r="A148" s="2012"/>
      <c r="B148" s="2022"/>
      <c r="C148" s="2021"/>
      <c r="D148" s="2015" t="s">
        <v>568</v>
      </c>
      <c r="E148" s="2016" t="str">
        <f>E109&amp;".38"</f>
        <v>7.38</v>
      </c>
      <c r="F148" s="2037" t="s">
        <v>632</v>
      </c>
      <c r="G148" s="2018" t="s">
        <v>555</v>
      </c>
      <c r="H148" s="2033"/>
      <c r="I148" s="2033">
        <v>0.20699999999999999</v>
      </c>
      <c r="J148" s="2019" t="s">
        <v>556</v>
      </c>
      <c r="K148" s="2020"/>
      <c r="L148" s="2021"/>
      <c r="M148" s="2021"/>
      <c r="N148" s="2022"/>
      <c r="O148" s="2022"/>
      <c r="P148" s="2022"/>
      <c r="Q148" s="2022"/>
      <c r="R148" s="2021"/>
      <c r="S148" s="2022"/>
      <c r="T148" s="2022"/>
      <c r="U148" s="2023"/>
      <c r="V148" s="2022"/>
      <c r="W148" s="2022"/>
      <c r="X148" s="2022"/>
      <c r="Y148" s="2022"/>
      <c r="Z148" s="2022"/>
      <c r="AA148" s="2024"/>
      <c r="AB148" s="2024"/>
      <c r="AC148" s="2024"/>
      <c r="AD148" s="2024"/>
      <c r="AE148" s="2024"/>
      <c r="AF148" s="2025">
        <v>0</v>
      </c>
    </row>
    <row r="149" spans="1:32" ht="123.75">
      <c r="A149" s="2012"/>
      <c r="B149" s="2022"/>
      <c r="C149" s="2021"/>
      <c r="D149" s="2015" t="s">
        <v>568</v>
      </c>
      <c r="E149" s="2016" t="str">
        <f>E109&amp;".39"</f>
        <v>7.39</v>
      </c>
      <c r="F149" s="2037" t="s">
        <v>633</v>
      </c>
      <c r="G149" s="2018" t="s">
        <v>555</v>
      </c>
      <c r="H149" s="2033"/>
      <c r="I149" s="2033">
        <v>0.25</v>
      </c>
      <c r="J149" s="2019" t="s">
        <v>556</v>
      </c>
      <c r="K149" s="2020"/>
      <c r="L149" s="2021"/>
      <c r="M149" s="2021"/>
      <c r="N149" s="2022"/>
      <c r="O149" s="2022"/>
      <c r="P149" s="2022"/>
      <c r="Q149" s="2022"/>
      <c r="R149" s="2021"/>
      <c r="S149" s="2022"/>
      <c r="T149" s="2022"/>
      <c r="U149" s="2023"/>
      <c r="V149" s="2022"/>
      <c r="W149" s="2022"/>
      <c r="X149" s="2022"/>
      <c r="Y149" s="2022"/>
      <c r="Z149" s="2022"/>
      <c r="AA149" s="2024"/>
      <c r="AB149" s="2024"/>
      <c r="AC149" s="2024"/>
      <c r="AD149" s="2024"/>
      <c r="AE149" s="2024"/>
      <c r="AF149" s="2025">
        <v>0</v>
      </c>
    </row>
    <row r="150" spans="1:32" ht="123.75">
      <c r="A150" s="2012"/>
      <c r="B150" s="2022"/>
      <c r="C150" s="2021"/>
      <c r="D150" s="2015" t="s">
        <v>568</v>
      </c>
      <c r="E150" s="2016" t="str">
        <f>E109&amp;".40"</f>
        <v>7.40</v>
      </c>
      <c r="F150" s="2037" t="s">
        <v>634</v>
      </c>
      <c r="G150" s="2018" t="s">
        <v>555</v>
      </c>
      <c r="H150" s="2033"/>
      <c r="I150" s="2033">
        <v>0.44</v>
      </c>
      <c r="J150" s="2019" t="s">
        <v>556</v>
      </c>
      <c r="K150" s="2020"/>
      <c r="L150" s="2021"/>
      <c r="M150" s="2021"/>
      <c r="N150" s="2022"/>
      <c r="O150" s="2022"/>
      <c r="P150" s="2022"/>
      <c r="Q150" s="2022"/>
      <c r="R150" s="2021"/>
      <c r="S150" s="2022"/>
      <c r="T150" s="2022"/>
      <c r="U150" s="2023"/>
      <c r="V150" s="2022"/>
      <c r="W150" s="2022"/>
      <c r="X150" s="2022"/>
      <c r="Y150" s="2022"/>
      <c r="Z150" s="2022"/>
      <c r="AA150" s="2024"/>
      <c r="AB150" s="2024"/>
      <c r="AC150" s="2024"/>
      <c r="AD150" s="2024"/>
      <c r="AE150" s="2024"/>
      <c r="AF150" s="2025">
        <v>0</v>
      </c>
    </row>
    <row r="151" spans="1:32" ht="123.75">
      <c r="A151" s="2012"/>
      <c r="B151" s="2022"/>
      <c r="C151" s="2021"/>
      <c r="D151" s="2015" t="s">
        <v>568</v>
      </c>
      <c r="E151" s="2016" t="str">
        <f>E109&amp;".41"</f>
        <v>7.41</v>
      </c>
      <c r="F151" s="2037" t="s">
        <v>635</v>
      </c>
      <c r="G151" s="2018" t="s">
        <v>555</v>
      </c>
      <c r="H151" s="2033"/>
      <c r="I151" s="2033">
        <v>15.9</v>
      </c>
      <c r="J151" s="2019" t="s">
        <v>556</v>
      </c>
      <c r="K151" s="2020"/>
      <c r="L151" s="2021"/>
      <c r="M151" s="2021"/>
      <c r="N151" s="2022"/>
      <c r="O151" s="2022"/>
      <c r="P151" s="2022"/>
      <c r="Q151" s="2022"/>
      <c r="R151" s="2021"/>
      <c r="S151" s="2022"/>
      <c r="T151" s="2022"/>
      <c r="U151" s="2023"/>
      <c r="V151" s="2022"/>
      <c r="W151" s="2022"/>
      <c r="X151" s="2022"/>
      <c r="Y151" s="2022"/>
      <c r="Z151" s="2022"/>
      <c r="AA151" s="2024"/>
      <c r="AB151" s="2024"/>
      <c r="AC151" s="2024"/>
      <c r="AD151" s="2024"/>
      <c r="AE151" s="2024"/>
      <c r="AF151" s="2025">
        <v>0</v>
      </c>
    </row>
    <row r="152" spans="1:32" ht="123.75">
      <c r="A152" s="2012"/>
      <c r="B152" s="2022"/>
      <c r="C152" s="2021"/>
      <c r="D152" s="2015" t="s">
        <v>568</v>
      </c>
      <c r="E152" s="2016" t="str">
        <f>E109&amp;".42"</f>
        <v>7.42</v>
      </c>
      <c r="F152" s="2037" t="s">
        <v>636</v>
      </c>
      <c r="G152" s="2018" t="s">
        <v>555</v>
      </c>
      <c r="H152" s="2033"/>
      <c r="I152" s="2033">
        <v>2.08</v>
      </c>
      <c r="J152" s="2019" t="s">
        <v>556</v>
      </c>
      <c r="K152" s="2020"/>
      <c r="L152" s="2021"/>
      <c r="M152" s="2021"/>
      <c r="N152" s="2022"/>
      <c r="O152" s="2022"/>
      <c r="P152" s="2022"/>
      <c r="Q152" s="2022"/>
      <c r="R152" s="2021"/>
      <c r="S152" s="2022"/>
      <c r="T152" s="2022"/>
      <c r="U152" s="2023"/>
      <c r="V152" s="2022"/>
      <c r="W152" s="2022"/>
      <c r="X152" s="2022"/>
      <c r="Y152" s="2022"/>
      <c r="Z152" s="2022"/>
      <c r="AA152" s="2024"/>
      <c r="AB152" s="2024"/>
      <c r="AC152" s="2024"/>
      <c r="AD152" s="2024"/>
      <c r="AE152" s="2024"/>
      <c r="AF152" s="2025">
        <v>0</v>
      </c>
    </row>
    <row r="153" spans="1:32" ht="123.75">
      <c r="A153" s="2012"/>
      <c r="B153" s="2022"/>
      <c r="C153" s="2021"/>
      <c r="D153" s="2015" t="s">
        <v>568</v>
      </c>
      <c r="E153" s="2016" t="str">
        <f>E109&amp;".43"</f>
        <v>7.43</v>
      </c>
      <c r="F153" s="2037" t="s">
        <v>637</v>
      </c>
      <c r="G153" s="2018" t="s">
        <v>555</v>
      </c>
      <c r="H153" s="2033"/>
      <c r="I153" s="2033">
        <v>0.25800000000000001</v>
      </c>
      <c r="J153" s="2019" t="s">
        <v>556</v>
      </c>
      <c r="K153" s="2020"/>
      <c r="L153" s="2021"/>
      <c r="M153" s="2021"/>
      <c r="N153" s="2022"/>
      <c r="O153" s="2022"/>
      <c r="P153" s="2022"/>
      <c r="Q153" s="2022"/>
      <c r="R153" s="2021"/>
      <c r="S153" s="2022"/>
      <c r="T153" s="2022"/>
      <c r="U153" s="2023"/>
      <c r="V153" s="2022"/>
      <c r="W153" s="2022"/>
      <c r="X153" s="2022"/>
      <c r="Y153" s="2022"/>
      <c r="Z153" s="2022"/>
      <c r="AA153" s="2024"/>
      <c r="AB153" s="2024"/>
      <c r="AC153" s="2024"/>
      <c r="AD153" s="2024"/>
      <c r="AE153" s="2024"/>
      <c r="AF153" s="2025">
        <v>0</v>
      </c>
    </row>
    <row r="154" spans="1:32" ht="123.75">
      <c r="A154" s="2012"/>
      <c r="B154" s="2022"/>
      <c r="C154" s="2021"/>
      <c r="D154" s="2015" t="s">
        <v>568</v>
      </c>
      <c r="E154" s="2016" t="str">
        <f>E109&amp;".44"</f>
        <v>7.44</v>
      </c>
      <c r="F154" s="2037" t="s">
        <v>638</v>
      </c>
      <c r="G154" s="2018" t="s">
        <v>555</v>
      </c>
      <c r="H154" s="2033"/>
      <c r="I154" s="2033">
        <v>0.25800000000000001</v>
      </c>
      <c r="J154" s="2019" t="s">
        <v>556</v>
      </c>
      <c r="K154" s="2020"/>
      <c r="L154" s="2021"/>
      <c r="M154" s="2021"/>
      <c r="N154" s="2022"/>
      <c r="O154" s="2022"/>
      <c r="P154" s="2022"/>
      <c r="Q154" s="2022"/>
      <c r="R154" s="2021"/>
      <c r="S154" s="2022"/>
      <c r="T154" s="2022"/>
      <c r="U154" s="2023"/>
      <c r="V154" s="2022"/>
      <c r="W154" s="2022"/>
      <c r="X154" s="2022"/>
      <c r="Y154" s="2022"/>
      <c r="Z154" s="2022"/>
      <c r="AA154" s="2024"/>
      <c r="AB154" s="2024"/>
      <c r="AC154" s="2024"/>
      <c r="AD154" s="2024"/>
      <c r="AE154" s="2024"/>
      <c r="AF154" s="2025">
        <v>0</v>
      </c>
    </row>
    <row r="155" spans="1:32" ht="123.75">
      <c r="A155" s="2012"/>
      <c r="B155" s="2022"/>
      <c r="C155" s="2021"/>
      <c r="D155" s="2015" t="s">
        <v>568</v>
      </c>
      <c r="E155" s="2016" t="str">
        <f>E109&amp;".45"</f>
        <v>7.45</v>
      </c>
      <c r="F155" s="2037" t="s">
        <v>639</v>
      </c>
      <c r="G155" s="2018" t="s">
        <v>555</v>
      </c>
      <c r="H155" s="2033"/>
      <c r="I155" s="2033">
        <v>0.17</v>
      </c>
      <c r="J155" s="2019" t="s">
        <v>556</v>
      </c>
      <c r="K155" s="2020"/>
      <c r="L155" s="2021"/>
      <c r="M155" s="2021"/>
      <c r="N155" s="2022"/>
      <c r="O155" s="2022"/>
      <c r="P155" s="2022"/>
      <c r="Q155" s="2022"/>
      <c r="R155" s="2021"/>
      <c r="S155" s="2022"/>
      <c r="T155" s="2022"/>
      <c r="U155" s="2023"/>
      <c r="V155" s="2022"/>
      <c r="W155" s="2022"/>
      <c r="X155" s="2022"/>
      <c r="Y155" s="2022"/>
      <c r="Z155" s="2022"/>
      <c r="AA155" s="2024"/>
      <c r="AB155" s="2024"/>
      <c r="AC155" s="2024"/>
      <c r="AD155" s="2024"/>
      <c r="AE155" s="2024"/>
      <c r="AF155" s="2025">
        <v>0</v>
      </c>
    </row>
    <row r="156" spans="1:32" ht="123.75">
      <c r="A156" s="2012"/>
      <c r="B156" s="2022"/>
      <c r="C156" s="2021"/>
      <c r="D156" s="2015" t="s">
        <v>568</v>
      </c>
      <c r="E156" s="2016" t="str">
        <f>E109&amp;".46"</f>
        <v>7.46</v>
      </c>
      <c r="F156" s="2037" t="s">
        <v>640</v>
      </c>
      <c r="G156" s="2018" t="s">
        <v>555</v>
      </c>
      <c r="H156" s="2033"/>
      <c r="I156" s="2033">
        <v>0.25800000000000001</v>
      </c>
      <c r="J156" s="2019" t="s">
        <v>556</v>
      </c>
      <c r="K156" s="2020"/>
      <c r="L156" s="2021"/>
      <c r="M156" s="2021"/>
      <c r="N156" s="2022"/>
      <c r="O156" s="2022"/>
      <c r="P156" s="2022"/>
      <c r="Q156" s="2022"/>
      <c r="R156" s="2021"/>
      <c r="S156" s="2022"/>
      <c r="T156" s="2022"/>
      <c r="U156" s="2023"/>
      <c r="V156" s="2022"/>
      <c r="W156" s="2022"/>
      <c r="X156" s="2022"/>
      <c r="Y156" s="2022"/>
      <c r="Z156" s="2022"/>
      <c r="AA156" s="2024"/>
      <c r="AB156" s="2024"/>
      <c r="AC156" s="2024"/>
      <c r="AD156" s="2024"/>
      <c r="AE156" s="2024"/>
      <c r="AF156" s="2025">
        <v>0</v>
      </c>
    </row>
    <row r="157" spans="1:32" ht="123.75">
      <c r="A157" s="2012"/>
      <c r="B157" s="2022"/>
      <c r="C157" s="2021"/>
      <c r="D157" s="2015" t="s">
        <v>568</v>
      </c>
      <c r="E157" s="2016" t="str">
        <f>E109&amp;".47"</f>
        <v>7.47</v>
      </c>
      <c r="F157" s="2037" t="s">
        <v>641</v>
      </c>
      <c r="G157" s="2018" t="s">
        <v>555</v>
      </c>
      <c r="H157" s="2033"/>
      <c r="I157" s="2033">
        <v>0.17199999999999999</v>
      </c>
      <c r="J157" s="2019" t="s">
        <v>556</v>
      </c>
      <c r="K157" s="2020"/>
      <c r="L157" s="2021"/>
      <c r="M157" s="2021"/>
      <c r="N157" s="2022"/>
      <c r="O157" s="2022"/>
      <c r="P157" s="2022"/>
      <c r="Q157" s="2022"/>
      <c r="R157" s="2021"/>
      <c r="S157" s="2022"/>
      <c r="T157" s="2022"/>
      <c r="U157" s="2023"/>
      <c r="V157" s="2022"/>
      <c r="W157" s="2022"/>
      <c r="X157" s="2022"/>
      <c r="Y157" s="2022"/>
      <c r="Z157" s="2022"/>
      <c r="AA157" s="2024"/>
      <c r="AB157" s="2024"/>
      <c r="AC157" s="2024"/>
      <c r="AD157" s="2024"/>
      <c r="AE157" s="2024"/>
      <c r="AF157" s="2025">
        <v>0</v>
      </c>
    </row>
    <row r="158" spans="1:32" ht="123.75">
      <c r="A158" s="2012"/>
      <c r="B158" s="2022"/>
      <c r="C158" s="2021"/>
      <c r="D158" s="2015" t="s">
        <v>568</v>
      </c>
      <c r="E158" s="2016" t="str">
        <f>E109&amp;".48"</f>
        <v>7.48</v>
      </c>
      <c r="F158" s="2037" t="s">
        <v>642</v>
      </c>
      <c r="G158" s="2018" t="s">
        <v>555</v>
      </c>
      <c r="H158" s="2033"/>
      <c r="I158" s="2033">
        <v>0.25800000000000001</v>
      </c>
      <c r="J158" s="2019" t="s">
        <v>556</v>
      </c>
      <c r="K158" s="2020"/>
      <c r="L158" s="2021"/>
      <c r="M158" s="2021"/>
      <c r="N158" s="2022"/>
      <c r="O158" s="2022"/>
      <c r="P158" s="2022"/>
      <c r="Q158" s="2022"/>
      <c r="R158" s="2021"/>
      <c r="S158" s="2022"/>
      <c r="T158" s="2022"/>
      <c r="U158" s="2023"/>
      <c r="V158" s="2022"/>
      <c r="W158" s="2022"/>
      <c r="X158" s="2022"/>
      <c r="Y158" s="2022"/>
      <c r="Z158" s="2022"/>
      <c r="AA158" s="2024"/>
      <c r="AB158" s="2024"/>
      <c r="AC158" s="2024"/>
      <c r="AD158" s="2024"/>
      <c r="AE158" s="2024"/>
      <c r="AF158" s="2025">
        <v>0</v>
      </c>
    </row>
    <row r="159" spans="1:32" ht="123.75">
      <c r="A159" s="2012"/>
      <c r="B159" s="2022"/>
      <c r="C159" s="2021"/>
      <c r="D159" s="2015" t="s">
        <v>568</v>
      </c>
      <c r="E159" s="2016" t="str">
        <f>E109&amp;".49"</f>
        <v>7.49</v>
      </c>
      <c r="F159" s="2037" t="s">
        <v>643</v>
      </c>
      <c r="G159" s="2018" t="s">
        <v>555</v>
      </c>
      <c r="H159" s="2033"/>
      <c r="I159" s="2033">
        <v>0.13800000000000001</v>
      </c>
      <c r="J159" s="2019" t="s">
        <v>556</v>
      </c>
      <c r="K159" s="2020"/>
      <c r="L159" s="2021"/>
      <c r="M159" s="2021"/>
      <c r="N159" s="2022"/>
      <c r="O159" s="2022"/>
      <c r="P159" s="2022"/>
      <c r="Q159" s="2022"/>
      <c r="R159" s="2021"/>
      <c r="S159" s="2022"/>
      <c r="T159" s="2022"/>
      <c r="U159" s="2023"/>
      <c r="V159" s="2022"/>
      <c r="W159" s="2022"/>
      <c r="X159" s="2022"/>
      <c r="Y159" s="2022"/>
      <c r="Z159" s="2022"/>
      <c r="AA159" s="2024"/>
      <c r="AB159" s="2024"/>
      <c r="AC159" s="2024"/>
      <c r="AD159" s="2024"/>
      <c r="AE159" s="2024"/>
      <c r="AF159" s="2025">
        <v>0</v>
      </c>
    </row>
    <row r="160" spans="1:32" ht="123.75">
      <c r="A160" s="2012"/>
      <c r="B160" s="2022"/>
      <c r="C160" s="2021"/>
      <c r="D160" s="2015" t="s">
        <v>568</v>
      </c>
      <c r="E160" s="2016" t="str">
        <f>E109&amp;".50"</f>
        <v>7.50</v>
      </c>
      <c r="F160" s="2037" t="s">
        <v>644</v>
      </c>
      <c r="G160" s="2018" t="s">
        <v>555</v>
      </c>
      <c r="H160" s="2033"/>
      <c r="I160" s="2033">
        <v>2.63</v>
      </c>
      <c r="J160" s="2019" t="s">
        <v>556</v>
      </c>
      <c r="K160" s="2020"/>
      <c r="L160" s="2021"/>
      <c r="M160" s="2021"/>
      <c r="N160" s="2022"/>
      <c r="O160" s="2022"/>
      <c r="P160" s="2022"/>
      <c r="Q160" s="2022"/>
      <c r="R160" s="2021"/>
      <c r="S160" s="2022"/>
      <c r="T160" s="2022"/>
      <c r="U160" s="2023"/>
      <c r="V160" s="2022"/>
      <c r="W160" s="2022"/>
      <c r="X160" s="2022"/>
      <c r="Y160" s="2022"/>
      <c r="Z160" s="2022"/>
      <c r="AA160" s="2024"/>
      <c r="AB160" s="2024"/>
      <c r="AC160" s="2024"/>
      <c r="AD160" s="2024"/>
      <c r="AE160" s="2024"/>
      <c r="AF160" s="2025">
        <v>0</v>
      </c>
    </row>
    <row r="161" spans="1:32" ht="123.75">
      <c r="A161" s="2012"/>
      <c r="B161" s="2022"/>
      <c r="C161" s="2021"/>
      <c r="D161" s="2015" t="s">
        <v>568</v>
      </c>
      <c r="E161" s="2016" t="str">
        <f>E109&amp;".51"</f>
        <v>7.51</v>
      </c>
      <c r="F161" s="2037" t="s">
        <v>645</v>
      </c>
      <c r="G161" s="2018" t="s">
        <v>555</v>
      </c>
      <c r="H161" s="2033"/>
      <c r="I161" s="2033">
        <v>5.9</v>
      </c>
      <c r="J161" s="2019" t="s">
        <v>556</v>
      </c>
      <c r="K161" s="2020"/>
      <c r="L161" s="2021"/>
      <c r="M161" s="2021"/>
      <c r="N161" s="2022"/>
      <c r="O161" s="2022"/>
      <c r="P161" s="2022"/>
      <c r="Q161" s="2022"/>
      <c r="R161" s="2021"/>
      <c r="S161" s="2022"/>
      <c r="T161" s="2022"/>
      <c r="U161" s="2023"/>
      <c r="V161" s="2022"/>
      <c r="W161" s="2022"/>
      <c r="X161" s="2022"/>
      <c r="Y161" s="2022"/>
      <c r="Z161" s="2022"/>
      <c r="AA161" s="2024"/>
      <c r="AB161" s="2024"/>
      <c r="AC161" s="2024"/>
      <c r="AD161" s="2024"/>
      <c r="AE161" s="2024"/>
      <c r="AF161" s="2025">
        <v>0</v>
      </c>
    </row>
    <row r="162" spans="1:32" ht="123.75">
      <c r="A162" s="2012"/>
      <c r="B162" s="2022"/>
      <c r="C162" s="2021"/>
      <c r="D162" s="2015" t="s">
        <v>568</v>
      </c>
      <c r="E162" s="2016" t="str">
        <f>E109&amp;".52"</f>
        <v>7.52</v>
      </c>
      <c r="F162" s="2037" t="s">
        <v>646</v>
      </c>
      <c r="G162" s="2018" t="s">
        <v>555</v>
      </c>
      <c r="H162" s="2033"/>
      <c r="I162" s="2033">
        <v>0.6</v>
      </c>
      <c r="J162" s="2019" t="s">
        <v>556</v>
      </c>
      <c r="K162" s="2020"/>
      <c r="L162" s="2021"/>
      <c r="M162" s="2021"/>
      <c r="N162" s="2022"/>
      <c r="O162" s="2022"/>
      <c r="P162" s="2022"/>
      <c r="Q162" s="2022"/>
      <c r="R162" s="2021"/>
      <c r="S162" s="2022"/>
      <c r="T162" s="2022"/>
      <c r="U162" s="2023"/>
      <c r="V162" s="2022"/>
      <c r="W162" s="2022"/>
      <c r="X162" s="2022"/>
      <c r="Y162" s="2022"/>
      <c r="Z162" s="2022"/>
      <c r="AA162" s="2024"/>
      <c r="AB162" s="2024"/>
      <c r="AC162" s="2024"/>
      <c r="AD162" s="2024"/>
      <c r="AE162" s="2024"/>
      <c r="AF162" s="2025">
        <v>0</v>
      </c>
    </row>
    <row r="163" spans="1:32" ht="123.75">
      <c r="A163" s="2012"/>
      <c r="B163" s="2022"/>
      <c r="C163" s="2021"/>
      <c r="D163" s="2015" t="s">
        <v>568</v>
      </c>
      <c r="E163" s="2016" t="str">
        <f>E109&amp;".53"</f>
        <v>7.53</v>
      </c>
      <c r="F163" s="2037" t="s">
        <v>647</v>
      </c>
      <c r="G163" s="2018" t="s">
        <v>555</v>
      </c>
      <c r="H163" s="2033"/>
      <c r="I163" s="2033">
        <v>0.34</v>
      </c>
      <c r="J163" s="2019" t="s">
        <v>556</v>
      </c>
      <c r="K163" s="2020"/>
      <c r="L163" s="2021"/>
      <c r="M163" s="2021"/>
      <c r="N163" s="2022"/>
      <c r="O163" s="2022"/>
      <c r="P163" s="2022"/>
      <c r="Q163" s="2022"/>
      <c r="R163" s="2021"/>
      <c r="S163" s="2022"/>
      <c r="T163" s="2022"/>
      <c r="U163" s="2023"/>
      <c r="V163" s="2022"/>
      <c r="W163" s="2022"/>
      <c r="X163" s="2022"/>
      <c r="Y163" s="2022"/>
      <c r="Z163" s="2022"/>
      <c r="AA163" s="2024"/>
      <c r="AB163" s="2024"/>
      <c r="AC163" s="2024"/>
      <c r="AD163" s="2024"/>
      <c r="AE163" s="2024"/>
      <c r="AF163" s="2025">
        <v>0</v>
      </c>
    </row>
    <row r="164" spans="1:32" ht="123.75">
      <c r="A164" s="2012"/>
      <c r="B164" s="2022"/>
      <c r="C164" s="2021"/>
      <c r="D164" s="2015" t="s">
        <v>568</v>
      </c>
      <c r="E164" s="2016" t="str">
        <f>E109&amp;".54"</f>
        <v>7.54</v>
      </c>
      <c r="F164" s="2037" t="s">
        <v>648</v>
      </c>
      <c r="G164" s="2018" t="s">
        <v>555</v>
      </c>
      <c r="H164" s="2033"/>
      <c r="I164" s="2033">
        <v>0.18</v>
      </c>
      <c r="J164" s="2019" t="s">
        <v>556</v>
      </c>
      <c r="K164" s="2020"/>
      <c r="L164" s="2021"/>
      <c r="M164" s="2021"/>
      <c r="N164" s="2022"/>
      <c r="O164" s="2022"/>
      <c r="P164" s="2022"/>
      <c r="Q164" s="2022"/>
      <c r="R164" s="2021"/>
      <c r="S164" s="2022"/>
      <c r="T164" s="2022"/>
      <c r="U164" s="2023"/>
      <c r="V164" s="2022"/>
      <c r="W164" s="2022"/>
      <c r="X164" s="2022"/>
      <c r="Y164" s="2022"/>
      <c r="Z164" s="2022"/>
      <c r="AA164" s="2024"/>
      <c r="AB164" s="2024"/>
      <c r="AC164" s="2024"/>
      <c r="AD164" s="2024"/>
      <c r="AE164" s="2024"/>
      <c r="AF164" s="2025">
        <v>0</v>
      </c>
    </row>
    <row r="165" spans="1:32" ht="123.75">
      <c r="A165" s="2012"/>
      <c r="B165" s="2022"/>
      <c r="C165" s="2021"/>
      <c r="D165" s="2015" t="s">
        <v>568</v>
      </c>
      <c r="E165" s="2016" t="str">
        <f>E109&amp;".55"</f>
        <v>7.55</v>
      </c>
      <c r="F165" s="2037" t="s">
        <v>649</v>
      </c>
      <c r="G165" s="2018" t="s">
        <v>555</v>
      </c>
      <c r="H165" s="2033"/>
      <c r="I165" s="2033">
        <v>0.51600000000000001</v>
      </c>
      <c r="J165" s="2019" t="s">
        <v>556</v>
      </c>
      <c r="K165" s="2020"/>
      <c r="L165" s="2021"/>
      <c r="M165" s="2021"/>
      <c r="N165" s="2022"/>
      <c r="O165" s="2022"/>
      <c r="P165" s="2022"/>
      <c r="Q165" s="2022"/>
      <c r="R165" s="2021"/>
      <c r="S165" s="2022"/>
      <c r="T165" s="2022"/>
      <c r="U165" s="2023"/>
      <c r="V165" s="2022"/>
      <c r="W165" s="2022"/>
      <c r="X165" s="2022"/>
      <c r="Y165" s="2022"/>
      <c r="Z165" s="2022"/>
      <c r="AA165" s="2024"/>
      <c r="AB165" s="2024"/>
      <c r="AC165" s="2024"/>
      <c r="AD165" s="2024"/>
      <c r="AE165" s="2024"/>
      <c r="AF165" s="2025">
        <v>0</v>
      </c>
    </row>
    <row r="166" spans="1:32" ht="123.75">
      <c r="A166" s="2012"/>
      <c r="B166" s="2022"/>
      <c r="C166" s="2021"/>
      <c r="D166" s="2015" t="s">
        <v>568</v>
      </c>
      <c r="E166" s="2016" t="str">
        <f>E109&amp;".56"</f>
        <v>7.56</v>
      </c>
      <c r="F166" s="2037" t="s">
        <v>650</v>
      </c>
      <c r="G166" s="2018" t="s">
        <v>555</v>
      </c>
      <c r="H166" s="2033"/>
      <c r="I166" s="2033">
        <v>8.86</v>
      </c>
      <c r="J166" s="2019" t="s">
        <v>556</v>
      </c>
      <c r="K166" s="2020"/>
      <c r="L166" s="2021"/>
      <c r="M166" s="2021"/>
      <c r="N166" s="2022"/>
      <c r="O166" s="2022"/>
      <c r="P166" s="2022"/>
      <c r="Q166" s="2022"/>
      <c r="R166" s="2021"/>
      <c r="S166" s="2022"/>
      <c r="T166" s="2022"/>
      <c r="U166" s="2023"/>
      <c r="V166" s="2022"/>
      <c r="W166" s="2022"/>
      <c r="X166" s="2022"/>
      <c r="Y166" s="2022"/>
      <c r="Z166" s="2022"/>
      <c r="AA166" s="2024"/>
      <c r="AB166" s="2024"/>
      <c r="AC166" s="2024"/>
      <c r="AD166" s="2024"/>
      <c r="AE166" s="2024"/>
      <c r="AF166" s="2025">
        <v>0</v>
      </c>
    </row>
    <row r="167" spans="1:32" ht="123.75">
      <c r="A167" s="2012"/>
      <c r="B167" s="2022"/>
      <c r="C167" s="2021"/>
      <c r="D167" s="2015" t="s">
        <v>568</v>
      </c>
      <c r="E167" s="2016" t="str">
        <f>E109&amp;".57"</f>
        <v>7.57</v>
      </c>
      <c r="F167" s="2037" t="s">
        <v>651</v>
      </c>
      <c r="G167" s="2018" t="s">
        <v>555</v>
      </c>
      <c r="H167" s="2033"/>
      <c r="I167" s="2033">
        <v>0.51600000000000001</v>
      </c>
      <c r="J167" s="2019" t="s">
        <v>556</v>
      </c>
      <c r="K167" s="2020"/>
      <c r="L167" s="2021"/>
      <c r="M167" s="2021"/>
      <c r="N167" s="2022"/>
      <c r="O167" s="2022"/>
      <c r="P167" s="2022"/>
      <c r="Q167" s="2022"/>
      <c r="R167" s="2021"/>
      <c r="S167" s="2022"/>
      <c r="T167" s="2022"/>
      <c r="U167" s="2023"/>
      <c r="V167" s="2022"/>
      <c r="W167" s="2022"/>
      <c r="X167" s="2022"/>
      <c r="Y167" s="2022"/>
      <c r="Z167" s="2022"/>
      <c r="AA167" s="2024"/>
      <c r="AB167" s="2024"/>
      <c r="AC167" s="2024"/>
      <c r="AD167" s="2024"/>
      <c r="AE167" s="2024"/>
      <c r="AF167" s="2025">
        <v>0</v>
      </c>
    </row>
    <row r="168" spans="1:32" ht="123.75">
      <c r="A168" s="2012"/>
      <c r="B168" s="2022"/>
      <c r="C168" s="2021"/>
      <c r="D168" s="2015" t="s">
        <v>568</v>
      </c>
      <c r="E168" s="2016" t="str">
        <f>E109&amp;".58"</f>
        <v>7.58</v>
      </c>
      <c r="F168" s="2037" t="s">
        <v>652</v>
      </c>
      <c r="G168" s="2018" t="s">
        <v>555</v>
      </c>
      <c r="H168" s="2033"/>
      <c r="I168" s="2033">
        <v>0.13800000000000001</v>
      </c>
      <c r="J168" s="2019" t="s">
        <v>556</v>
      </c>
      <c r="K168" s="2020"/>
      <c r="L168" s="2021"/>
      <c r="M168" s="2021"/>
      <c r="N168" s="2022"/>
      <c r="O168" s="2022"/>
      <c r="P168" s="2022"/>
      <c r="Q168" s="2022"/>
      <c r="R168" s="2021"/>
      <c r="S168" s="2022"/>
      <c r="T168" s="2022"/>
      <c r="U168" s="2023"/>
      <c r="V168" s="2022"/>
      <c r="W168" s="2022"/>
      <c r="X168" s="2022"/>
      <c r="Y168" s="2022"/>
      <c r="Z168" s="2022"/>
      <c r="AA168" s="2024"/>
      <c r="AB168" s="2024"/>
      <c r="AC168" s="2024"/>
      <c r="AD168" s="2024"/>
      <c r="AE168" s="2024"/>
      <c r="AF168" s="2025">
        <v>0</v>
      </c>
    </row>
    <row r="169" spans="1:32" ht="123.75">
      <c r="A169" s="2012"/>
      <c r="B169" s="2022"/>
      <c r="C169" s="2021"/>
      <c r="D169" s="2015" t="s">
        <v>568</v>
      </c>
      <c r="E169" s="2016" t="str">
        <f>E109&amp;".59"</f>
        <v>7.59</v>
      </c>
      <c r="F169" s="2037" t="s">
        <v>653</v>
      </c>
      <c r="G169" s="2018" t="s">
        <v>555</v>
      </c>
      <c r="H169" s="2033"/>
      <c r="I169" s="2033">
        <v>1.02</v>
      </c>
      <c r="J169" s="2019" t="s">
        <v>556</v>
      </c>
      <c r="K169" s="2020"/>
      <c r="L169" s="2021"/>
      <c r="M169" s="2021"/>
      <c r="N169" s="2022"/>
      <c r="O169" s="2022"/>
      <c r="P169" s="2022"/>
      <c r="Q169" s="2022"/>
      <c r="R169" s="2021"/>
      <c r="S169" s="2022"/>
      <c r="T169" s="2022"/>
      <c r="U169" s="2023"/>
      <c r="V169" s="2022"/>
      <c r="W169" s="2022"/>
      <c r="X169" s="2022"/>
      <c r="Y169" s="2022"/>
      <c r="Z169" s="2022"/>
      <c r="AA169" s="2024"/>
      <c r="AB169" s="2024"/>
      <c r="AC169" s="2024"/>
      <c r="AD169" s="2024"/>
      <c r="AE169" s="2024"/>
      <c r="AF169" s="2025">
        <v>0</v>
      </c>
    </row>
    <row r="170" spans="1:32" ht="123.75">
      <c r="A170" s="2012"/>
      <c r="B170" s="2022"/>
      <c r="C170" s="2021"/>
      <c r="D170" s="2015" t="s">
        <v>568</v>
      </c>
      <c r="E170" s="2016" t="str">
        <f>E109&amp;".60"</f>
        <v>7.60</v>
      </c>
      <c r="F170" s="2037" t="s">
        <v>654</v>
      </c>
      <c r="G170" s="2018" t="s">
        <v>555</v>
      </c>
      <c r="H170" s="2033"/>
      <c r="I170" s="2033">
        <v>1.02</v>
      </c>
      <c r="J170" s="2019" t="s">
        <v>556</v>
      </c>
      <c r="K170" s="2020"/>
      <c r="L170" s="2021"/>
      <c r="M170" s="2021"/>
      <c r="N170" s="2022"/>
      <c r="O170" s="2022"/>
      <c r="P170" s="2022"/>
      <c r="Q170" s="2022"/>
      <c r="R170" s="2021"/>
      <c r="S170" s="2022"/>
      <c r="T170" s="2022"/>
      <c r="U170" s="2023"/>
      <c r="V170" s="2022"/>
      <c r="W170" s="2022"/>
      <c r="X170" s="2022"/>
      <c r="Y170" s="2022"/>
      <c r="Z170" s="2022"/>
      <c r="AA170" s="2024"/>
      <c r="AB170" s="2024"/>
      <c r="AC170" s="2024"/>
      <c r="AD170" s="2024"/>
      <c r="AE170" s="2024"/>
      <c r="AF170" s="2025">
        <v>0</v>
      </c>
    </row>
    <row r="171" spans="1:32" ht="123.75">
      <c r="A171" s="2012"/>
      <c r="B171" s="2022"/>
      <c r="C171" s="2021"/>
      <c r="D171" s="2015" t="s">
        <v>568</v>
      </c>
      <c r="E171" s="2016" t="str">
        <f>E109&amp;".61"</f>
        <v>7.61</v>
      </c>
      <c r="F171" s="2037" t="s">
        <v>655</v>
      </c>
      <c r="G171" s="2018" t="s">
        <v>555</v>
      </c>
      <c r="H171" s="2033"/>
      <c r="I171" s="2033">
        <v>0.63</v>
      </c>
      <c r="J171" s="2019" t="s">
        <v>556</v>
      </c>
      <c r="K171" s="2020"/>
      <c r="L171" s="2021"/>
      <c r="M171" s="2021"/>
      <c r="N171" s="2022"/>
      <c r="O171" s="2022"/>
      <c r="P171" s="2022"/>
      <c r="Q171" s="2022"/>
      <c r="R171" s="2021"/>
      <c r="S171" s="2022"/>
      <c r="T171" s="2022"/>
      <c r="U171" s="2023"/>
      <c r="V171" s="2022"/>
      <c r="W171" s="2022"/>
      <c r="X171" s="2022"/>
      <c r="Y171" s="2022"/>
      <c r="Z171" s="2022"/>
      <c r="AA171" s="2024"/>
      <c r="AB171" s="2024"/>
      <c r="AC171" s="2024"/>
      <c r="AD171" s="2024"/>
      <c r="AE171" s="2024"/>
      <c r="AF171" s="2025">
        <v>0</v>
      </c>
    </row>
    <row r="172" spans="1:32" ht="123.75">
      <c r="A172" s="2012"/>
      <c r="B172" s="2022"/>
      <c r="C172" s="2021"/>
      <c r="D172" s="2015" t="s">
        <v>568</v>
      </c>
      <c r="E172" s="2016" t="str">
        <f>E109&amp;".62"</f>
        <v>7.62</v>
      </c>
      <c r="F172" s="2037" t="s">
        <v>656</v>
      </c>
      <c r="G172" s="2018" t="s">
        <v>555</v>
      </c>
      <c r="H172" s="2033"/>
      <c r="I172" s="2033">
        <v>0.68</v>
      </c>
      <c r="J172" s="2019" t="s">
        <v>556</v>
      </c>
      <c r="K172" s="2020"/>
      <c r="L172" s="2021"/>
      <c r="M172" s="2021"/>
      <c r="N172" s="2022"/>
      <c r="O172" s="2022"/>
      <c r="P172" s="2022"/>
      <c r="Q172" s="2022"/>
      <c r="R172" s="2021"/>
      <c r="S172" s="2022"/>
      <c r="T172" s="2022"/>
      <c r="U172" s="2023"/>
      <c r="V172" s="2022"/>
      <c r="W172" s="2022"/>
      <c r="X172" s="2022"/>
      <c r="Y172" s="2022"/>
      <c r="Z172" s="2022"/>
      <c r="AA172" s="2024"/>
      <c r="AB172" s="2024"/>
      <c r="AC172" s="2024"/>
      <c r="AD172" s="2024"/>
      <c r="AE172" s="2024"/>
      <c r="AF172" s="2025">
        <v>0</v>
      </c>
    </row>
    <row r="173" spans="1:32" ht="123.75">
      <c r="A173" s="2012"/>
      <c r="B173" s="2022"/>
      <c r="C173" s="2021"/>
      <c r="D173" s="2015" t="s">
        <v>568</v>
      </c>
      <c r="E173" s="2016" t="str">
        <f>E109&amp;".63"</f>
        <v>7.63</v>
      </c>
      <c r="F173" s="2037" t="s">
        <v>657</v>
      </c>
      <c r="G173" s="2018" t="s">
        <v>555</v>
      </c>
      <c r="H173" s="2033"/>
      <c r="I173" s="2033">
        <v>0.81</v>
      </c>
      <c r="J173" s="2019" t="s">
        <v>556</v>
      </c>
      <c r="K173" s="2020"/>
      <c r="L173" s="2021"/>
      <c r="M173" s="2021"/>
      <c r="N173" s="2022"/>
      <c r="O173" s="2022"/>
      <c r="P173" s="2022"/>
      <c r="Q173" s="2022"/>
      <c r="R173" s="2021"/>
      <c r="S173" s="2022"/>
      <c r="T173" s="2022"/>
      <c r="U173" s="2023"/>
      <c r="V173" s="2022"/>
      <c r="W173" s="2022"/>
      <c r="X173" s="2022"/>
      <c r="Y173" s="2022"/>
      <c r="Z173" s="2022"/>
      <c r="AA173" s="2024"/>
      <c r="AB173" s="2024"/>
      <c r="AC173" s="2024"/>
      <c r="AD173" s="2024"/>
      <c r="AE173" s="2024"/>
      <c r="AF173" s="2025">
        <v>0</v>
      </c>
    </row>
    <row r="174" spans="1:32" ht="123.75">
      <c r="A174" s="2012"/>
      <c r="B174" s="2022"/>
      <c r="C174" s="2021"/>
      <c r="D174" s="2015" t="s">
        <v>568</v>
      </c>
      <c r="E174" s="2016" t="str">
        <f>E109&amp;".64"</f>
        <v>7.64</v>
      </c>
      <c r="F174" s="2037" t="s">
        <v>658</v>
      </c>
      <c r="G174" s="2018" t="s">
        <v>555</v>
      </c>
      <c r="H174" s="2033"/>
      <c r="I174" s="2033">
        <v>0.34</v>
      </c>
      <c r="J174" s="2019" t="s">
        <v>556</v>
      </c>
      <c r="K174" s="2020"/>
      <c r="L174" s="2021"/>
      <c r="M174" s="2021"/>
      <c r="N174" s="2022"/>
      <c r="O174" s="2022"/>
      <c r="P174" s="2022"/>
      <c r="Q174" s="2022"/>
      <c r="R174" s="2021"/>
      <c r="S174" s="2022"/>
      <c r="T174" s="2022"/>
      <c r="U174" s="2023"/>
      <c r="V174" s="2022"/>
      <c r="W174" s="2022"/>
      <c r="X174" s="2022"/>
      <c r="Y174" s="2022"/>
      <c r="Z174" s="2022"/>
      <c r="AA174" s="2024"/>
      <c r="AB174" s="2024"/>
      <c r="AC174" s="2024"/>
      <c r="AD174" s="2024"/>
      <c r="AE174" s="2024"/>
      <c r="AF174" s="2025">
        <v>0</v>
      </c>
    </row>
    <row r="175" spans="1:32" ht="123.75">
      <c r="A175" s="2012"/>
      <c r="B175" s="2022"/>
      <c r="C175" s="2021"/>
      <c r="D175" s="2015" t="s">
        <v>568</v>
      </c>
      <c r="E175" s="2016" t="str">
        <f>E109&amp;".65"</f>
        <v>7.65</v>
      </c>
      <c r="F175" s="2037" t="s">
        <v>659</v>
      </c>
      <c r="G175" s="2018" t="s">
        <v>555</v>
      </c>
      <c r="H175" s="2033"/>
      <c r="I175" s="2033">
        <v>0.52</v>
      </c>
      <c r="J175" s="2019" t="s">
        <v>556</v>
      </c>
      <c r="K175" s="2020"/>
      <c r="L175" s="2021"/>
      <c r="M175" s="2021"/>
      <c r="N175" s="2022"/>
      <c r="O175" s="2022"/>
      <c r="P175" s="2022"/>
      <c r="Q175" s="2022"/>
      <c r="R175" s="2021"/>
      <c r="S175" s="2022"/>
      <c r="T175" s="2022"/>
      <c r="U175" s="2023"/>
      <c r="V175" s="2022"/>
      <c r="W175" s="2022"/>
      <c r="X175" s="2022"/>
      <c r="Y175" s="2022"/>
      <c r="Z175" s="2022"/>
      <c r="AA175" s="2024"/>
      <c r="AB175" s="2024"/>
      <c r="AC175" s="2024"/>
      <c r="AD175" s="2024"/>
      <c r="AE175" s="2024"/>
      <c r="AF175" s="2025">
        <v>0</v>
      </c>
    </row>
    <row r="176" spans="1:32" ht="123.75">
      <c r="A176" s="2012"/>
      <c r="B176" s="2022"/>
      <c r="C176" s="2021"/>
      <c r="D176" s="2015" t="s">
        <v>568</v>
      </c>
      <c r="E176" s="2016" t="str">
        <f>E109&amp;".66"</f>
        <v>7.66</v>
      </c>
      <c r="F176" s="2037" t="s">
        <v>660</v>
      </c>
      <c r="G176" s="2018" t="s">
        <v>555</v>
      </c>
      <c r="H176" s="2033"/>
      <c r="I176" s="2033">
        <v>0.13800000000000001</v>
      </c>
      <c r="J176" s="2019" t="s">
        <v>556</v>
      </c>
      <c r="K176" s="2020"/>
      <c r="L176" s="2021"/>
      <c r="M176" s="2021"/>
      <c r="N176" s="2022"/>
      <c r="O176" s="2022"/>
      <c r="P176" s="2022"/>
      <c r="Q176" s="2022"/>
      <c r="R176" s="2021"/>
      <c r="S176" s="2022"/>
      <c r="T176" s="2022"/>
      <c r="U176" s="2023"/>
      <c r="V176" s="2022"/>
      <c r="W176" s="2022"/>
      <c r="X176" s="2022"/>
      <c r="Y176" s="2022"/>
      <c r="Z176" s="2022"/>
      <c r="AA176" s="2024"/>
      <c r="AB176" s="2024"/>
      <c r="AC176" s="2024"/>
      <c r="AD176" s="2024"/>
      <c r="AE176" s="2024"/>
      <c r="AF176" s="2025">
        <v>0</v>
      </c>
    </row>
    <row r="177" spans="1:32" ht="123.75">
      <c r="A177" s="2012"/>
      <c r="B177" s="2022"/>
      <c r="C177" s="2021"/>
      <c r="D177" s="2015" t="s">
        <v>568</v>
      </c>
      <c r="E177" s="2016" t="str">
        <f>E109&amp;".67"</f>
        <v>7.67</v>
      </c>
      <c r="F177" s="2037" t="s">
        <v>661</v>
      </c>
      <c r="G177" s="2018" t="s">
        <v>555</v>
      </c>
      <c r="H177" s="2033"/>
      <c r="I177" s="2033">
        <v>0.34499999999999997</v>
      </c>
      <c r="J177" s="2019" t="s">
        <v>556</v>
      </c>
      <c r="K177" s="2020"/>
      <c r="L177" s="2021"/>
      <c r="M177" s="2021"/>
      <c r="N177" s="2022"/>
      <c r="O177" s="2022"/>
      <c r="P177" s="2022"/>
      <c r="Q177" s="2022"/>
      <c r="R177" s="2021"/>
      <c r="S177" s="2022"/>
      <c r="T177" s="2022"/>
      <c r="U177" s="2023"/>
      <c r="V177" s="2022"/>
      <c r="W177" s="2022"/>
      <c r="X177" s="2022"/>
      <c r="Y177" s="2022"/>
      <c r="Z177" s="2022"/>
      <c r="AA177" s="2024"/>
      <c r="AB177" s="2024"/>
      <c r="AC177" s="2024"/>
      <c r="AD177" s="2024"/>
      <c r="AE177" s="2024"/>
      <c r="AF177" s="2025">
        <v>0</v>
      </c>
    </row>
    <row r="178" spans="1:32" ht="123.75">
      <c r="A178" s="2012"/>
      <c r="B178" s="2022"/>
      <c r="C178" s="2021"/>
      <c r="D178" s="2015" t="s">
        <v>568</v>
      </c>
      <c r="E178" s="2016" t="str">
        <f>E109&amp;".68"</f>
        <v>7.68</v>
      </c>
      <c r="F178" s="2037" t="s">
        <v>662</v>
      </c>
      <c r="G178" s="2018" t="s">
        <v>555</v>
      </c>
      <c r="H178" s="2033"/>
      <c r="I178" s="2033">
        <v>0.52</v>
      </c>
      <c r="J178" s="2019" t="s">
        <v>556</v>
      </c>
      <c r="K178" s="2020"/>
      <c r="L178" s="2021"/>
      <c r="M178" s="2021"/>
      <c r="N178" s="2022"/>
      <c r="O178" s="2022"/>
      <c r="P178" s="2022"/>
      <c r="Q178" s="2022"/>
      <c r="R178" s="2021"/>
      <c r="S178" s="2022"/>
      <c r="T178" s="2022"/>
      <c r="U178" s="2023"/>
      <c r="V178" s="2022"/>
      <c r="W178" s="2022"/>
      <c r="X178" s="2022"/>
      <c r="Y178" s="2022"/>
      <c r="Z178" s="2022"/>
      <c r="AA178" s="2024"/>
      <c r="AB178" s="2024"/>
      <c r="AC178" s="2024"/>
      <c r="AD178" s="2024"/>
      <c r="AE178" s="2024"/>
      <c r="AF178" s="2025">
        <v>0</v>
      </c>
    </row>
    <row r="179" spans="1:32" ht="123.75">
      <c r="A179" s="2012"/>
      <c r="B179" s="2022"/>
      <c r="C179" s="2021"/>
      <c r="D179" s="2015" t="s">
        <v>568</v>
      </c>
      <c r="E179" s="2016" t="str">
        <f>E109&amp;".69"</f>
        <v>7.69</v>
      </c>
      <c r="F179" s="2037" t="s">
        <v>663</v>
      </c>
      <c r="G179" s="2018" t="s">
        <v>555</v>
      </c>
      <c r="H179" s="2033"/>
      <c r="I179" s="2033">
        <v>0.52</v>
      </c>
      <c r="J179" s="2019" t="s">
        <v>556</v>
      </c>
      <c r="K179" s="2020"/>
      <c r="L179" s="2021"/>
      <c r="M179" s="2021"/>
      <c r="N179" s="2022"/>
      <c r="O179" s="2022"/>
      <c r="P179" s="2022"/>
      <c r="Q179" s="2022"/>
      <c r="R179" s="2021"/>
      <c r="S179" s="2022"/>
      <c r="T179" s="2022"/>
      <c r="U179" s="2023"/>
      <c r="V179" s="2022"/>
      <c r="W179" s="2022"/>
      <c r="X179" s="2022"/>
      <c r="Y179" s="2022"/>
      <c r="Z179" s="2022"/>
      <c r="AA179" s="2024"/>
      <c r="AB179" s="2024"/>
      <c r="AC179" s="2024"/>
      <c r="AD179" s="2024"/>
      <c r="AE179" s="2024"/>
      <c r="AF179" s="2025">
        <v>0</v>
      </c>
    </row>
    <row r="180" spans="1:32" ht="123.75">
      <c r="A180" s="2012"/>
      <c r="B180" s="2022"/>
      <c r="C180" s="2021"/>
      <c r="D180" s="2015" t="s">
        <v>568</v>
      </c>
      <c r="E180" s="2016" t="str">
        <f>E109&amp;".70"</f>
        <v>7.70</v>
      </c>
      <c r="F180" s="2037" t="s">
        <v>664</v>
      </c>
      <c r="G180" s="2018" t="s">
        <v>555</v>
      </c>
      <c r="H180" s="2033"/>
      <c r="I180" s="2033">
        <v>0.129</v>
      </c>
      <c r="J180" s="2019" t="s">
        <v>556</v>
      </c>
      <c r="K180" s="2020"/>
      <c r="L180" s="2021"/>
      <c r="M180" s="2021"/>
      <c r="N180" s="2022"/>
      <c r="O180" s="2022"/>
      <c r="P180" s="2022"/>
      <c r="Q180" s="2022"/>
      <c r="R180" s="2021"/>
      <c r="S180" s="2022"/>
      <c r="T180" s="2022"/>
      <c r="U180" s="2023"/>
      <c r="V180" s="2022"/>
      <c r="W180" s="2022"/>
      <c r="X180" s="2022"/>
      <c r="Y180" s="2022"/>
      <c r="Z180" s="2022"/>
      <c r="AA180" s="2024"/>
      <c r="AB180" s="2024"/>
      <c r="AC180" s="2024"/>
      <c r="AD180" s="2024"/>
      <c r="AE180" s="2024"/>
      <c r="AF180" s="2025">
        <v>0</v>
      </c>
    </row>
    <row r="181" spans="1:32" ht="123.75">
      <c r="A181" s="2012"/>
      <c r="B181" s="2022"/>
      <c r="C181" s="2021"/>
      <c r="D181" s="2015" t="s">
        <v>568</v>
      </c>
      <c r="E181" s="2016" t="str">
        <f>E109&amp;".71"</f>
        <v>7.71</v>
      </c>
      <c r="F181" s="2037" t="s">
        <v>665</v>
      </c>
      <c r="G181" s="2018" t="s">
        <v>555</v>
      </c>
      <c r="H181" s="2033"/>
      <c r="I181" s="2033">
        <v>2.38</v>
      </c>
      <c r="J181" s="2019" t="s">
        <v>556</v>
      </c>
      <c r="K181" s="2020"/>
      <c r="L181" s="2021"/>
      <c r="M181" s="2021"/>
      <c r="N181" s="2022"/>
      <c r="O181" s="2022"/>
      <c r="P181" s="2022"/>
      <c r="Q181" s="2022"/>
      <c r="R181" s="2021"/>
      <c r="S181" s="2022"/>
      <c r="T181" s="2022"/>
      <c r="U181" s="2023"/>
      <c r="V181" s="2022"/>
      <c r="W181" s="2022"/>
      <c r="X181" s="2022"/>
      <c r="Y181" s="2022"/>
      <c r="Z181" s="2022"/>
      <c r="AA181" s="2024"/>
      <c r="AB181" s="2024"/>
      <c r="AC181" s="2024"/>
      <c r="AD181" s="2024"/>
      <c r="AE181" s="2024"/>
      <c r="AF181" s="2025">
        <v>0</v>
      </c>
    </row>
    <row r="182" spans="1:32" ht="123.75">
      <c r="A182" s="2012"/>
      <c r="B182" s="2022"/>
      <c r="C182" s="2021"/>
      <c r="D182" s="2015" t="s">
        <v>568</v>
      </c>
      <c r="E182" s="2016" t="str">
        <f>E109&amp;".72"</f>
        <v>7.72</v>
      </c>
      <c r="F182" s="2037" t="s">
        <v>666</v>
      </c>
      <c r="G182" s="2018" t="s">
        <v>555</v>
      </c>
      <c r="H182" s="2033"/>
      <c r="I182" s="2033">
        <v>0.17199999999999999</v>
      </c>
      <c r="J182" s="2019" t="s">
        <v>556</v>
      </c>
      <c r="K182" s="2020"/>
      <c r="L182" s="2021"/>
      <c r="M182" s="2021"/>
      <c r="N182" s="2022"/>
      <c r="O182" s="2022"/>
      <c r="P182" s="2022"/>
      <c r="Q182" s="2022"/>
      <c r="R182" s="2021"/>
      <c r="S182" s="2022"/>
      <c r="T182" s="2022"/>
      <c r="U182" s="2023"/>
      <c r="V182" s="2022"/>
      <c r="W182" s="2022"/>
      <c r="X182" s="2022"/>
      <c r="Y182" s="2022"/>
      <c r="Z182" s="2022"/>
      <c r="AA182" s="2024"/>
      <c r="AB182" s="2024"/>
      <c r="AC182" s="2024"/>
      <c r="AD182" s="2024"/>
      <c r="AE182" s="2024"/>
      <c r="AF182" s="2025">
        <v>0</v>
      </c>
    </row>
    <row r="183" spans="1:32" ht="123.75">
      <c r="A183" s="2012"/>
      <c r="B183" s="2022"/>
      <c r="C183" s="2021"/>
      <c r="D183" s="2015" t="s">
        <v>568</v>
      </c>
      <c r="E183" s="2016" t="str">
        <f>E109&amp;".73"</f>
        <v>7.73</v>
      </c>
      <c r="F183" s="2037" t="s">
        <v>667</v>
      </c>
      <c r="G183" s="2018" t="s">
        <v>555</v>
      </c>
      <c r="H183" s="2033"/>
      <c r="I183" s="2033">
        <v>6.89</v>
      </c>
      <c r="J183" s="2019" t="s">
        <v>556</v>
      </c>
      <c r="K183" s="2020"/>
      <c r="L183" s="2021"/>
      <c r="M183" s="2021"/>
      <c r="N183" s="2022"/>
      <c r="O183" s="2022"/>
      <c r="P183" s="2022"/>
      <c r="Q183" s="2022"/>
      <c r="R183" s="2021"/>
      <c r="S183" s="2022"/>
      <c r="T183" s="2022"/>
      <c r="U183" s="2023"/>
      <c r="V183" s="2022"/>
      <c r="W183" s="2022"/>
      <c r="X183" s="2022"/>
      <c r="Y183" s="2022"/>
      <c r="Z183" s="2022"/>
      <c r="AA183" s="2024"/>
      <c r="AB183" s="2024"/>
      <c r="AC183" s="2024"/>
      <c r="AD183" s="2024"/>
      <c r="AE183" s="2024"/>
      <c r="AF183" s="2025">
        <v>0</v>
      </c>
    </row>
    <row r="184" spans="1:32" ht="123.75">
      <c r="A184" s="2012"/>
      <c r="B184" s="2022"/>
      <c r="C184" s="2021"/>
      <c r="D184" s="2015" t="s">
        <v>568</v>
      </c>
      <c r="E184" s="2016" t="str">
        <f>E109&amp;".74"</f>
        <v>7.74</v>
      </c>
      <c r="F184" s="2037" t="s">
        <v>668</v>
      </c>
      <c r="G184" s="2018" t="s">
        <v>555</v>
      </c>
      <c r="H184" s="2033"/>
      <c r="I184" s="2033">
        <v>13.75</v>
      </c>
      <c r="J184" s="2019" t="s">
        <v>556</v>
      </c>
      <c r="K184" s="2020"/>
      <c r="L184" s="2021"/>
      <c r="M184" s="2021"/>
      <c r="N184" s="2022"/>
      <c r="O184" s="2022"/>
      <c r="P184" s="2022"/>
      <c r="Q184" s="2022"/>
      <c r="R184" s="2021"/>
      <c r="S184" s="2022"/>
      <c r="T184" s="2022"/>
      <c r="U184" s="2023"/>
      <c r="V184" s="2022"/>
      <c r="W184" s="2022"/>
      <c r="X184" s="2022"/>
      <c r="Y184" s="2022"/>
      <c r="Z184" s="2022"/>
      <c r="AA184" s="2024"/>
      <c r="AB184" s="2024"/>
      <c r="AC184" s="2024"/>
      <c r="AD184" s="2024"/>
      <c r="AE184" s="2024"/>
      <c r="AF184" s="2025">
        <v>0</v>
      </c>
    </row>
    <row r="185" spans="1:32" ht="123.75">
      <c r="A185" s="2012"/>
      <c r="B185" s="2022"/>
      <c r="C185" s="2021"/>
      <c r="D185" s="2015" t="s">
        <v>568</v>
      </c>
      <c r="E185" s="2016" t="str">
        <f>E109&amp;".75"</f>
        <v>7.75</v>
      </c>
      <c r="F185" s="2037" t="s">
        <v>669</v>
      </c>
      <c r="G185" s="2018" t="s">
        <v>555</v>
      </c>
      <c r="H185" s="2033"/>
      <c r="I185" s="2033">
        <v>5.59</v>
      </c>
      <c r="J185" s="2019" t="s">
        <v>556</v>
      </c>
      <c r="K185" s="2020"/>
      <c r="L185" s="2021"/>
      <c r="M185" s="2021"/>
      <c r="N185" s="2022"/>
      <c r="O185" s="2022"/>
      <c r="P185" s="2022"/>
      <c r="Q185" s="2022"/>
      <c r="R185" s="2021"/>
      <c r="S185" s="2022"/>
      <c r="T185" s="2022"/>
      <c r="U185" s="2023"/>
      <c r="V185" s="2022"/>
      <c r="W185" s="2022"/>
      <c r="X185" s="2022"/>
      <c r="Y185" s="2022"/>
      <c r="Z185" s="2022"/>
      <c r="AA185" s="2024"/>
      <c r="AB185" s="2024"/>
      <c r="AC185" s="2024"/>
      <c r="AD185" s="2024"/>
      <c r="AE185" s="2024"/>
      <c r="AF185" s="2025">
        <v>0</v>
      </c>
    </row>
    <row r="186" spans="1:32" ht="123.75">
      <c r="A186" s="2012"/>
      <c r="B186" s="2022"/>
      <c r="C186" s="2021"/>
      <c r="D186" s="2015" t="s">
        <v>568</v>
      </c>
      <c r="E186" s="2016" t="str">
        <f>E109&amp;".76"</f>
        <v>7.76</v>
      </c>
      <c r="F186" s="2037" t="s">
        <v>670</v>
      </c>
      <c r="G186" s="2018" t="s">
        <v>555</v>
      </c>
      <c r="H186" s="2033"/>
      <c r="I186" s="2033">
        <v>1.1200000000000001</v>
      </c>
      <c r="J186" s="2019" t="s">
        <v>556</v>
      </c>
      <c r="K186" s="2020"/>
      <c r="L186" s="2021"/>
      <c r="M186" s="2021"/>
      <c r="N186" s="2022"/>
      <c r="O186" s="2022"/>
      <c r="P186" s="2022"/>
      <c r="Q186" s="2022"/>
      <c r="R186" s="2021"/>
      <c r="S186" s="2022"/>
      <c r="T186" s="2022"/>
      <c r="U186" s="2023"/>
      <c r="V186" s="2022"/>
      <c r="W186" s="2022"/>
      <c r="X186" s="2022"/>
      <c r="Y186" s="2022"/>
      <c r="Z186" s="2022"/>
      <c r="AA186" s="2024"/>
      <c r="AB186" s="2024"/>
      <c r="AC186" s="2024"/>
      <c r="AD186" s="2024"/>
      <c r="AE186" s="2024"/>
      <c r="AF186" s="2025">
        <v>0</v>
      </c>
    </row>
    <row r="187" spans="1:32" ht="225">
      <c r="A187" s="1994"/>
      <c r="D187" s="1549"/>
      <c r="E187" s="895"/>
      <c r="F187" s="896" t="s">
        <v>671</v>
      </c>
      <c r="G187" s="508"/>
      <c r="H187" s="509"/>
      <c r="I187" s="509"/>
      <c r="J187" s="926" t="s">
        <v>672</v>
      </c>
      <c r="K187" s="479"/>
      <c r="AF187" s="1547">
        <v>0</v>
      </c>
    </row>
    <row r="188" spans="1:32" ht="225">
      <c r="A188" s="1994"/>
      <c r="C188" s="1552"/>
      <c r="D188" s="1554"/>
      <c r="E188" s="482" t="str">
        <f>FHD_NUM_P_62</f>
        <v>8</v>
      </c>
      <c r="F188" s="1792" t="str">
        <f>FHD_P_62</f>
        <v>Тепловая нагрузка по договорам, заключенным в рамках осуществления регулируемых видов деятельности</v>
      </c>
      <c r="G188" s="1789" t="s">
        <v>555</v>
      </c>
      <c r="H188" s="493"/>
      <c r="I188" s="493">
        <v>248.30600000000001</v>
      </c>
      <c r="J188"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88" s="479"/>
      <c r="L188" s="1552"/>
      <c r="M188" s="1552"/>
      <c r="R188" s="1552"/>
      <c r="U188" s="480"/>
      <c r="AA188" s="1548"/>
      <c r="AB188" s="1548"/>
      <c r="AC188" s="1548"/>
      <c r="AD188" s="1548"/>
      <c r="AE188" s="1548"/>
      <c r="AF188" s="1076">
        <v>0</v>
      </c>
    </row>
    <row r="189" spans="1:32" ht="225">
      <c r="A189" s="1994"/>
      <c r="C189" s="1552"/>
      <c r="D189" s="1554"/>
      <c r="E189" s="482" t="str">
        <f>FHD_NUM_P_63</f>
        <v>9</v>
      </c>
      <c r="F189" s="1792" t="str">
        <f>FHD_P_63</f>
        <v>Объем вырабатываемой регулируемой организацией тепловой энергии в рамках осуществления регулируемых видов деятельности</v>
      </c>
      <c r="G189" s="1789" t="s">
        <v>592</v>
      </c>
      <c r="H189" s="513"/>
      <c r="I189" s="513">
        <v>478.3</v>
      </c>
      <c r="J189"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89" s="479"/>
      <c r="L189" s="1552"/>
      <c r="M189" s="1552"/>
      <c r="R189" s="1552"/>
      <c r="U189" s="480"/>
      <c r="AA189" s="1548"/>
      <c r="AB189" s="1548"/>
      <c r="AC189" s="1548"/>
      <c r="AD189" s="1548"/>
      <c r="AE189" s="1548"/>
      <c r="AF189" s="1076">
        <v>0</v>
      </c>
    </row>
    <row r="190" spans="1:32" ht="191.25">
      <c r="A190" s="1994"/>
      <c r="C190" s="1552" t="s">
        <v>22</v>
      </c>
      <c r="D190" s="1554"/>
      <c r="E190" s="482" t="str">
        <f>FHD_NUM_P_64</f>
        <v>9.1</v>
      </c>
      <c r="F190" s="1792" t="str">
        <f>FHD_P_64</f>
        <v>Объем приобретаемой регулируемой организацией тепловой энергии в рамках осуществления регулируемых видов деятельности</v>
      </c>
      <c r="G190" s="1789" t="s">
        <v>592</v>
      </c>
      <c r="H190" s="481"/>
      <c r="I190" s="481">
        <v>0</v>
      </c>
      <c r="J190" s="226" t="str">
        <f>FHD_NOTE_P_64</f>
        <v>Информация указывается только едиными теплоснабжающими организациями.</v>
      </c>
      <c r="K190" s="479"/>
      <c r="L190" s="1552"/>
      <c r="M190" s="1552"/>
      <c r="R190" s="1552"/>
      <c r="U190" s="480"/>
      <c r="AA190" s="1548"/>
      <c r="AB190" s="1548"/>
      <c r="AC190" s="1548"/>
      <c r="AD190" s="1548"/>
      <c r="AE190" s="1548"/>
      <c r="AF190" s="1076">
        <v>0</v>
      </c>
    </row>
    <row r="191" spans="1:32" ht="409.5">
      <c r="A191" s="1994"/>
      <c r="C191" s="1552"/>
      <c r="D191" s="1554"/>
      <c r="E191" s="482" t="str">
        <f>FHD_NUM_P_65</f>
        <v>10</v>
      </c>
      <c r="F191" s="17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91" s="1789" t="s">
        <v>592</v>
      </c>
      <c r="H191" s="513"/>
      <c r="I191" s="513">
        <v>416.38</v>
      </c>
      <c r="J191"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91" s="479"/>
      <c r="L191" s="1552"/>
      <c r="M191" s="1552"/>
      <c r="R191" s="1552"/>
      <c r="U191" s="480"/>
      <c r="AA191" s="1548"/>
      <c r="AB191" s="1548"/>
      <c r="AC191" s="1548"/>
      <c r="AD191" s="1548"/>
      <c r="AE191" s="1548"/>
      <c r="AF191" s="1076">
        <v>0</v>
      </c>
    </row>
    <row r="192" spans="1:32" ht="45">
      <c r="A192" s="1994"/>
      <c r="C192" s="1552"/>
      <c r="D192" s="1554"/>
      <c r="E192" s="482" t="str">
        <f>FHD_NUM_P_66</f>
        <v>10.1</v>
      </c>
      <c r="F192" s="1440" t="str">
        <f>FHD_P_66</f>
        <v xml:space="preserve">По приборам учёта </v>
      </c>
      <c r="G192" s="1789" t="s">
        <v>592</v>
      </c>
      <c r="H192" s="513"/>
      <c r="I192" s="513">
        <v>272.45999999999998</v>
      </c>
      <c r="J192" s="226" t="str">
        <f>FHD_NOTE_P_66</f>
        <v/>
      </c>
      <c r="K192" s="479"/>
      <c r="L192" s="1552"/>
      <c r="M192" s="1552"/>
      <c r="R192" s="1552"/>
      <c r="U192" s="480"/>
      <c r="AA192" s="1548"/>
      <c r="AB192" s="1548"/>
      <c r="AC192" s="1548"/>
      <c r="AD192" s="1548"/>
      <c r="AE192" s="1548"/>
      <c r="AF192" s="1076">
        <v>0</v>
      </c>
    </row>
    <row r="193" spans="1:32" ht="409.5">
      <c r="A193" s="1994"/>
      <c r="C193" s="1552"/>
      <c r="D193" s="1554"/>
      <c r="E193" s="482" t="str">
        <f>FHD_NUM_P_67</f>
        <v>10.1.1</v>
      </c>
      <c r="F193" s="156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93" s="1789" t="s">
        <v>592</v>
      </c>
      <c r="H193" s="513"/>
      <c r="I193" s="513">
        <v>0</v>
      </c>
      <c r="J193" s="226" t="str">
        <f>FHD_NOTE_P_67</f>
        <v/>
      </c>
      <c r="K193" s="479"/>
      <c r="L193" s="1552"/>
      <c r="M193" s="1552"/>
      <c r="R193" s="1552"/>
      <c r="U193" s="480"/>
      <c r="AA193" s="1548"/>
      <c r="AB193" s="1548"/>
      <c r="AC193" s="1548"/>
      <c r="AD193" s="1548"/>
      <c r="AE193" s="1548"/>
      <c r="AF193" s="1076">
        <v>0</v>
      </c>
    </row>
    <row r="194" spans="1:32" ht="33.75">
      <c r="A194" s="1994"/>
      <c r="C194" s="1552"/>
      <c r="D194" s="1554"/>
      <c r="E194" s="482" t="str">
        <f>FHD_NUM_P_68</f>
        <v>10.2</v>
      </c>
      <c r="F194" s="1440" t="str">
        <f>FHD_P_68</f>
        <v>Расчётным путём</v>
      </c>
      <c r="G194" s="1789" t="s">
        <v>592</v>
      </c>
      <c r="H194" s="513"/>
      <c r="I194" s="513">
        <v>143.91999999999999</v>
      </c>
      <c r="J194" s="226" t="str">
        <f>FHD_NOTE_P_68</f>
        <v/>
      </c>
      <c r="K194" s="479"/>
      <c r="L194" s="1552"/>
      <c r="M194" s="1552"/>
      <c r="R194" s="1552"/>
      <c r="U194" s="480"/>
      <c r="AA194" s="1548"/>
      <c r="AB194" s="1548"/>
      <c r="AC194" s="1548"/>
      <c r="AD194" s="1548"/>
      <c r="AE194" s="1548"/>
      <c r="AF194" s="1076">
        <v>0</v>
      </c>
    </row>
    <row r="195" spans="1:32" ht="180">
      <c r="A195" s="1994"/>
      <c r="C195" s="1552"/>
      <c r="D195" s="1554"/>
      <c r="E195" s="482" t="str">
        <f>FHD_NUM_P_69</f>
        <v>10.3</v>
      </c>
      <c r="F195" s="1440" t="str">
        <f>FHD_P_69</f>
        <v>По нормативам потребления коммунальных услуг и нормативам потребления коммунальных ресурсов</v>
      </c>
      <c r="G195" s="1789" t="s">
        <v>592</v>
      </c>
      <c r="H195" s="513"/>
      <c r="I195" s="513">
        <v>0</v>
      </c>
      <c r="J195" s="226" t="str">
        <f>FHD_NOTE_P_69</f>
        <v/>
      </c>
      <c r="K195" s="479"/>
      <c r="L195" s="1552"/>
      <c r="M195" s="1552"/>
      <c r="R195" s="1552"/>
      <c r="U195" s="480"/>
      <c r="AA195" s="1548"/>
      <c r="AB195" s="1548"/>
      <c r="AC195" s="1548"/>
      <c r="AD195" s="1548"/>
      <c r="AE195" s="1548"/>
      <c r="AF195" s="1076">
        <v>0</v>
      </c>
    </row>
    <row r="196" spans="1:32" ht="202.5">
      <c r="A196" s="1994"/>
      <c r="C196" s="1552"/>
      <c r="D196" s="1554"/>
      <c r="E196" s="482" t="str">
        <f>FHD_NUM_P_70</f>
        <v>11</v>
      </c>
      <c r="F196" s="1792" t="str">
        <f>FHD_P_70</f>
        <v>Нормативы технологических потерь при передаче тепловой энергии, теплоносителя по тепловым сетям, утвержденные уполномоченным органом</v>
      </c>
      <c r="G196" s="1789" t="s">
        <v>673</v>
      </c>
      <c r="H196" s="493"/>
      <c r="I196" s="493">
        <v>50.85</v>
      </c>
      <c r="J196" s="226" t="str">
        <f>FHD_NOTE_P_70</f>
        <v/>
      </c>
      <c r="K196" s="479"/>
      <c r="L196" s="1552"/>
      <c r="M196" s="1552"/>
      <c r="R196" s="1552"/>
      <c r="U196" s="480"/>
      <c r="AA196" s="1548"/>
      <c r="AB196" s="1548"/>
      <c r="AC196" s="1548"/>
      <c r="AD196" s="1548"/>
      <c r="AE196" s="1548"/>
      <c r="AF196" s="1076">
        <v>0</v>
      </c>
    </row>
    <row r="197" spans="1:32" ht="90">
      <c r="A197" s="1994"/>
      <c r="C197" s="1552"/>
      <c r="D197" s="1554"/>
      <c r="E197" s="482" t="str">
        <f>FHD_NUM_P_71</f>
        <v>12</v>
      </c>
      <c r="F197" s="1792" t="str">
        <f>FHD_P_71</f>
        <v>Фактический объем потерь при передаче тепловой энергии</v>
      </c>
      <c r="G197" s="1789" t="s">
        <v>673</v>
      </c>
      <c r="H197" s="493"/>
      <c r="I197" s="493">
        <v>50.85</v>
      </c>
      <c r="J197" s="226" t="str">
        <f>FHD_NOTE_P_71</f>
        <v/>
      </c>
      <c r="K197" s="479"/>
      <c r="L197" s="1552"/>
      <c r="M197" s="1552"/>
      <c r="R197" s="1552"/>
      <c r="U197" s="480"/>
      <c r="AA197" s="1548"/>
      <c r="AB197" s="1548"/>
      <c r="AC197" s="1548"/>
      <c r="AD197" s="1548"/>
      <c r="AE197" s="1548"/>
      <c r="AF197" s="1076">
        <v>0</v>
      </c>
    </row>
    <row r="198" spans="1:32" ht="123.75">
      <c r="D198" s="1554"/>
      <c r="E198" s="482" t="str">
        <f>FHD_NUM_P_72</f>
        <v>13</v>
      </c>
      <c r="F198" s="1792" t="str">
        <f>FHD_P_72</f>
        <v>Среднесписочная численность основного производственного персонала</v>
      </c>
      <c r="G198" s="1788" t="s">
        <v>674</v>
      </c>
      <c r="H198" s="513"/>
      <c r="I198" s="513">
        <v>554</v>
      </c>
      <c r="J198" s="226" t="str">
        <f>FHD_NOTE_P_72</f>
        <v/>
      </c>
      <c r="K198" s="479"/>
      <c r="AF198" s="1547">
        <v>19</v>
      </c>
    </row>
    <row r="199" spans="1:32" ht="112.5">
      <c r="A199" s="912" t="s">
        <v>675</v>
      </c>
      <c r="D199" s="1554"/>
      <c r="E199" s="482" t="str">
        <f>FHD_NUM_P_73</f>
        <v>14</v>
      </c>
      <c r="F199" s="1792" t="str">
        <f>FHD_P_73</f>
        <v>Среднесписочная численность административно-управленческого персонала</v>
      </c>
      <c r="G199" s="894" t="s">
        <v>674</v>
      </c>
      <c r="H199" s="892"/>
      <c r="I199" s="892">
        <v>171</v>
      </c>
      <c r="J199" s="226" t="str">
        <f>FHD_NOTE_P_73</f>
        <v/>
      </c>
      <c r="K199" s="479"/>
      <c r="AF199" s="1547">
        <v>0</v>
      </c>
    </row>
    <row r="200" spans="1:32" ht="45">
      <c r="A200" s="912" t="s">
        <v>676</v>
      </c>
      <c r="D200" s="1554"/>
      <c r="E200" s="482" t="str">
        <f>FHD_NUM_P_74</f>
        <v/>
      </c>
      <c r="F200" s="1792" t="str">
        <f>FHD_P_74</f>
        <v/>
      </c>
      <c r="G200" s="1788" t="s">
        <v>677</v>
      </c>
      <c r="H200" s="513"/>
      <c r="I200" s="513"/>
      <c r="J200" s="226" t="str">
        <f>FHD_NOTE_P_74</f>
        <v/>
      </c>
      <c r="K200" s="479"/>
      <c r="AF200" s="1547">
        <v>0</v>
      </c>
    </row>
    <row r="201" spans="1:32" ht="20.25">
      <c r="A201" s="1996" t="s">
        <v>678</v>
      </c>
      <c r="B201" s="835"/>
      <c r="C201" s="671"/>
      <c r="D201" s="669"/>
      <c r="E201" s="482" t="str">
        <f>FHD_NUM_P_75</f>
        <v/>
      </c>
      <c r="F201" s="1792" t="str">
        <f>FHD_P_75</f>
        <v/>
      </c>
      <c r="G201" s="1788" t="s">
        <v>557</v>
      </c>
      <c r="H201" s="493"/>
      <c r="I201" s="493"/>
      <c r="J201" s="226" t="str">
        <f>FHD_NOTE_P_75</f>
        <v/>
      </c>
      <c r="K201" s="670"/>
      <c r="L201" s="671"/>
      <c r="M201" s="671"/>
      <c r="N201" s="835"/>
      <c r="O201" s="835"/>
      <c r="P201" s="835"/>
      <c r="Q201" s="835"/>
      <c r="R201" s="671"/>
      <c r="S201" s="835"/>
      <c r="T201" s="835"/>
      <c r="U201" s="672"/>
      <c r="V201" s="835"/>
      <c r="W201" s="835"/>
      <c r="X201" s="835"/>
      <c r="Y201" s="835"/>
      <c r="Z201" s="835"/>
      <c r="AA201" s="673"/>
      <c r="AB201" s="673"/>
      <c r="AC201" s="673"/>
      <c r="AD201" s="673"/>
      <c r="AE201" s="673"/>
      <c r="AF201" s="675">
        <v>0</v>
      </c>
    </row>
    <row r="202" spans="1:32" ht="18.75">
      <c r="A202" s="1996"/>
      <c r="B202" s="835"/>
      <c r="C202" s="671"/>
      <c r="D202" s="669"/>
      <c r="E202" s="482" t="str">
        <f>FHD_NUM_P_76</f>
        <v/>
      </c>
      <c r="F202" s="1792" t="str">
        <f>FHD_P_76</f>
        <v/>
      </c>
      <c r="G202" s="1788" t="s">
        <v>557</v>
      </c>
      <c r="H202" s="493"/>
      <c r="I202" s="493"/>
      <c r="J202" s="226" t="str">
        <f>FHD_NOTE_P_76</f>
        <v/>
      </c>
      <c r="K202" s="670"/>
      <c r="L202" s="671"/>
      <c r="M202" s="671"/>
      <c r="N202" s="835"/>
      <c r="O202" s="835"/>
      <c r="P202" s="835"/>
      <c r="Q202" s="835"/>
      <c r="R202" s="671"/>
      <c r="S202" s="835"/>
      <c r="T202" s="835"/>
      <c r="U202" s="672"/>
      <c r="V202" s="835"/>
      <c r="W202" s="835"/>
      <c r="X202" s="835"/>
      <c r="Y202" s="835"/>
      <c r="Z202" s="835"/>
      <c r="AA202" s="673"/>
      <c r="AB202" s="673"/>
      <c r="AC202" s="673"/>
      <c r="AD202" s="673"/>
      <c r="AE202" s="673"/>
      <c r="AF202" s="675">
        <v>0</v>
      </c>
    </row>
    <row r="203" spans="1:32" ht="18.75">
      <c r="A203" s="1996"/>
      <c r="B203" s="835"/>
      <c r="C203" s="671"/>
      <c r="D203" s="669"/>
      <c r="E203" s="482" t="str">
        <f>FHD_NUM_P_77</f>
        <v/>
      </c>
      <c r="F203" s="1792" t="str">
        <f>FHD_P_77</f>
        <v/>
      </c>
      <c r="G203" s="1788" t="s">
        <v>557</v>
      </c>
      <c r="H203" s="493"/>
      <c r="I203" s="493"/>
      <c r="J203" s="226" t="str">
        <f>FHD_NOTE_P_77</f>
        <v/>
      </c>
      <c r="K203" s="670"/>
      <c r="L203" s="671"/>
      <c r="M203" s="671"/>
      <c r="N203" s="835"/>
      <c r="O203" s="835"/>
      <c r="P203" s="835"/>
      <c r="Q203" s="835"/>
      <c r="R203" s="671"/>
      <c r="S203" s="835"/>
      <c r="T203" s="835"/>
      <c r="U203" s="672"/>
      <c r="V203" s="835"/>
      <c r="W203" s="835"/>
      <c r="X203" s="835"/>
      <c r="Y203" s="835"/>
      <c r="Z203" s="835"/>
      <c r="AA203" s="673"/>
      <c r="AB203" s="673"/>
      <c r="AC203" s="673"/>
      <c r="AD203" s="673"/>
      <c r="AE203" s="673"/>
      <c r="AF203" s="675">
        <v>0</v>
      </c>
    </row>
    <row r="204" spans="1:32" ht="11.25">
      <c r="A204" s="1996"/>
      <c r="D204" s="484"/>
      <c r="E204" s="935" t="str">
        <f>E203&amp;".0"</f>
        <v>.0</v>
      </c>
      <c r="F204" s="920"/>
      <c r="G204" s="1567"/>
      <c r="H204" s="915"/>
      <c r="I204" s="915"/>
      <c r="J204" s="919"/>
      <c r="AF204" s="1552">
        <v>0</v>
      </c>
    </row>
    <row r="205" spans="1:32" ht="168.75">
      <c r="A205" s="1996"/>
      <c r="B205" s="835"/>
      <c r="C205" s="671"/>
      <c r="D205" s="682"/>
      <c r="E205" s="897"/>
      <c r="F205" s="898" t="s">
        <v>679</v>
      </c>
      <c r="G205" s="683"/>
      <c r="H205" s="684"/>
      <c r="I205" s="684"/>
      <c r="J205" s="925" t="s">
        <v>680</v>
      </c>
      <c r="K205" s="670"/>
      <c r="L205" s="671"/>
      <c r="M205" s="671"/>
      <c r="N205" s="835"/>
      <c r="O205" s="835"/>
      <c r="P205" s="835"/>
      <c r="Q205" s="835"/>
      <c r="R205" s="671"/>
      <c r="S205" s="835"/>
      <c r="T205" s="835"/>
      <c r="U205" s="672"/>
      <c r="V205" s="835"/>
      <c r="W205" s="835"/>
      <c r="X205" s="835"/>
      <c r="Y205" s="835"/>
      <c r="Z205" s="835"/>
      <c r="AA205" s="673"/>
      <c r="AB205" s="673"/>
      <c r="AC205" s="673"/>
      <c r="AD205" s="673"/>
      <c r="AE205" s="673"/>
      <c r="AF205" s="675">
        <v>0</v>
      </c>
    </row>
    <row r="206" spans="1:32" ht="409.5">
      <c r="A206" s="1994" t="s">
        <v>681</v>
      </c>
      <c r="D206" s="1554"/>
      <c r="E206" s="482" t="str">
        <f>FHD_NUM_P_78</f>
        <v>15</v>
      </c>
      <c r="F206" s="17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06" s="1789" t="s">
        <v>559</v>
      </c>
      <c r="H206" s="513"/>
      <c r="I206" s="513">
        <v>166.9</v>
      </c>
      <c r="J206" s="226" t="str">
        <f>FHD_NOTE_P_78</f>
        <v/>
      </c>
      <c r="K206" s="479"/>
      <c r="AF206" s="1547">
        <v>0</v>
      </c>
    </row>
    <row r="207" spans="1:32" ht="11.25">
      <c r="A207" s="1994"/>
      <c r="D207" s="484"/>
      <c r="E207" s="935" t="str">
        <f>E206&amp;".0"</f>
        <v>15.0</v>
      </c>
      <c r="F207" s="920"/>
      <c r="G207" s="1567"/>
      <c r="H207" s="915"/>
      <c r="I207" s="915"/>
      <c r="J207" s="919"/>
      <c r="AF207" s="1552">
        <v>0</v>
      </c>
    </row>
    <row r="208" spans="1:32" ht="258.75">
      <c r="A208" s="2041"/>
      <c r="B208" s="2042"/>
      <c r="C208" s="2043"/>
      <c r="D208" s="2044" t="s">
        <v>568</v>
      </c>
      <c r="E208" s="2045" t="str">
        <f>E206&amp;".1"</f>
        <v>15.1</v>
      </c>
      <c r="F208" s="2046" t="s">
        <v>595</v>
      </c>
      <c r="G208" s="2047" t="s">
        <v>559</v>
      </c>
      <c r="H208" s="2048"/>
      <c r="I208" s="2048">
        <v>170.3</v>
      </c>
      <c r="J208" s="2049" t="s">
        <v>560</v>
      </c>
      <c r="K208" s="2050"/>
      <c r="L208" s="2043"/>
      <c r="M208" s="2043"/>
      <c r="N208" s="2042"/>
      <c r="O208" s="2042"/>
      <c r="P208" s="2042"/>
      <c r="Q208" s="2042"/>
      <c r="R208" s="2043"/>
      <c r="S208" s="2042"/>
      <c r="T208" s="2042"/>
      <c r="U208" s="2051"/>
      <c r="V208" s="2042"/>
      <c r="W208" s="2042"/>
      <c r="X208" s="2042"/>
      <c r="Y208" s="2042"/>
      <c r="Z208" s="2042"/>
      <c r="AA208" s="2052"/>
      <c r="AB208" s="2052"/>
      <c r="AC208" s="2052"/>
      <c r="AD208" s="2052"/>
      <c r="AE208" s="2052"/>
      <c r="AF208" s="2053">
        <v>0</v>
      </c>
    </row>
    <row r="209" spans="1:32" ht="258.75">
      <c r="A209" s="2041"/>
      <c r="B209" s="2042"/>
      <c r="C209" s="2043"/>
      <c r="D209" s="2044" t="s">
        <v>568</v>
      </c>
      <c r="E209" s="2045" t="str">
        <f>E206&amp;".2"</f>
        <v>15.2</v>
      </c>
      <c r="F209" s="2046" t="s">
        <v>596</v>
      </c>
      <c r="G209" s="2047" t="s">
        <v>559</v>
      </c>
      <c r="H209" s="2048"/>
      <c r="I209" s="2048">
        <v>167.8</v>
      </c>
      <c r="J209" s="2049" t="s">
        <v>560</v>
      </c>
      <c r="K209" s="2050"/>
      <c r="L209" s="2043"/>
      <c r="M209" s="2043"/>
      <c r="N209" s="2042"/>
      <c r="O209" s="2042"/>
      <c r="P209" s="2042"/>
      <c r="Q209" s="2042"/>
      <c r="R209" s="2043"/>
      <c r="S209" s="2042"/>
      <c r="T209" s="2042"/>
      <c r="U209" s="2051"/>
      <c r="V209" s="2042"/>
      <c r="W209" s="2042"/>
      <c r="X209" s="2042"/>
      <c r="Y209" s="2042"/>
      <c r="Z209" s="2042"/>
      <c r="AA209" s="2052"/>
      <c r="AB209" s="2052"/>
      <c r="AC209" s="2052"/>
      <c r="AD209" s="2052"/>
      <c r="AE209" s="2052"/>
      <c r="AF209" s="2053">
        <v>0</v>
      </c>
    </row>
    <row r="210" spans="1:32" ht="258.75">
      <c r="A210" s="2041"/>
      <c r="B210" s="2042"/>
      <c r="C210" s="2043"/>
      <c r="D210" s="2044" t="s">
        <v>568</v>
      </c>
      <c r="E210" s="2045" t="str">
        <f>E206&amp;".3"</f>
        <v>15.3</v>
      </c>
      <c r="F210" s="2046" t="s">
        <v>682</v>
      </c>
      <c r="G210" s="2047" t="s">
        <v>559</v>
      </c>
      <c r="H210" s="2048"/>
      <c r="I210" s="2048">
        <v>165.2</v>
      </c>
      <c r="J210" s="2049" t="s">
        <v>560</v>
      </c>
      <c r="K210" s="2050"/>
      <c r="L210" s="2043"/>
      <c r="M210" s="2043"/>
      <c r="N210" s="2042"/>
      <c r="O210" s="2042"/>
      <c r="P210" s="2042"/>
      <c r="Q210" s="2042"/>
      <c r="R210" s="2043"/>
      <c r="S210" s="2042"/>
      <c r="T210" s="2042"/>
      <c r="U210" s="2051"/>
      <c r="V210" s="2042"/>
      <c r="W210" s="2042"/>
      <c r="X210" s="2042"/>
      <c r="Y210" s="2042"/>
      <c r="Z210" s="2042"/>
      <c r="AA210" s="2052"/>
      <c r="AB210" s="2052"/>
      <c r="AC210" s="2052"/>
      <c r="AD210" s="2052"/>
      <c r="AE210" s="2052"/>
      <c r="AF210" s="2053">
        <v>0</v>
      </c>
    </row>
    <row r="211" spans="1:32" ht="258.75">
      <c r="A211" s="2041"/>
      <c r="B211" s="2042"/>
      <c r="C211" s="2043"/>
      <c r="D211" s="2044" t="s">
        <v>568</v>
      </c>
      <c r="E211" s="2045" t="str">
        <f>E206&amp;".4"</f>
        <v>15.4</v>
      </c>
      <c r="F211" s="2046" t="s">
        <v>598</v>
      </c>
      <c r="G211" s="2047" t="s">
        <v>559</v>
      </c>
      <c r="H211" s="2048"/>
      <c r="I211" s="2048">
        <v>172.8</v>
      </c>
      <c r="J211" s="2049" t="s">
        <v>560</v>
      </c>
      <c r="K211" s="2050"/>
      <c r="L211" s="2043"/>
      <c r="M211" s="2043"/>
      <c r="N211" s="2042"/>
      <c r="O211" s="2042"/>
      <c r="P211" s="2042"/>
      <c r="Q211" s="2042"/>
      <c r="R211" s="2043"/>
      <c r="S211" s="2042"/>
      <c r="T211" s="2042"/>
      <c r="U211" s="2051"/>
      <c r="V211" s="2042"/>
      <c r="W211" s="2042"/>
      <c r="X211" s="2042"/>
      <c r="Y211" s="2042"/>
      <c r="Z211" s="2042"/>
      <c r="AA211" s="2052"/>
      <c r="AB211" s="2052"/>
      <c r="AC211" s="2052"/>
      <c r="AD211" s="2052"/>
      <c r="AE211" s="2052"/>
      <c r="AF211" s="2053">
        <v>0</v>
      </c>
    </row>
    <row r="212" spans="1:32" ht="258.75">
      <c r="A212" s="2041"/>
      <c r="B212" s="2042"/>
      <c r="C212" s="2043"/>
      <c r="D212" s="2044" t="s">
        <v>568</v>
      </c>
      <c r="E212" s="2045" t="str">
        <f>E206&amp;".5"</f>
        <v>15.5</v>
      </c>
      <c r="F212" s="2046" t="s">
        <v>599</v>
      </c>
      <c r="G212" s="2047" t="s">
        <v>559</v>
      </c>
      <c r="H212" s="2048"/>
      <c r="I212" s="2048">
        <v>164.4</v>
      </c>
      <c r="J212" s="2049" t="s">
        <v>560</v>
      </c>
      <c r="K212" s="2050"/>
      <c r="L212" s="2043"/>
      <c r="M212" s="2043"/>
      <c r="N212" s="2042"/>
      <c r="O212" s="2042"/>
      <c r="P212" s="2042"/>
      <c r="Q212" s="2042"/>
      <c r="R212" s="2043"/>
      <c r="S212" s="2042"/>
      <c r="T212" s="2042"/>
      <c r="U212" s="2051"/>
      <c r="V212" s="2042"/>
      <c r="W212" s="2042"/>
      <c r="X212" s="2042"/>
      <c r="Y212" s="2042"/>
      <c r="Z212" s="2042"/>
      <c r="AA212" s="2052"/>
      <c r="AB212" s="2052"/>
      <c r="AC212" s="2052"/>
      <c r="AD212" s="2052"/>
      <c r="AE212" s="2052"/>
      <c r="AF212" s="2053">
        <v>0</v>
      </c>
    </row>
    <row r="213" spans="1:32" ht="258.75">
      <c r="A213" s="2041"/>
      <c r="B213" s="2042"/>
      <c r="C213" s="2043"/>
      <c r="D213" s="2044" t="s">
        <v>568</v>
      </c>
      <c r="E213" s="2045" t="str">
        <f>E206&amp;".6"</f>
        <v>15.6</v>
      </c>
      <c r="F213" s="2046" t="s">
        <v>600</v>
      </c>
      <c r="G213" s="2047" t="s">
        <v>559</v>
      </c>
      <c r="H213" s="2048"/>
      <c r="I213" s="2048">
        <v>180.4</v>
      </c>
      <c r="J213" s="2049" t="s">
        <v>560</v>
      </c>
      <c r="K213" s="2050"/>
      <c r="L213" s="2043"/>
      <c r="M213" s="2043"/>
      <c r="N213" s="2042"/>
      <c r="O213" s="2042"/>
      <c r="P213" s="2042"/>
      <c r="Q213" s="2042"/>
      <c r="R213" s="2043"/>
      <c r="S213" s="2042"/>
      <c r="T213" s="2042"/>
      <c r="U213" s="2051"/>
      <c r="V213" s="2042"/>
      <c r="W213" s="2042"/>
      <c r="X213" s="2042"/>
      <c r="Y213" s="2042"/>
      <c r="Z213" s="2042"/>
      <c r="AA213" s="2052"/>
      <c r="AB213" s="2052"/>
      <c r="AC213" s="2052"/>
      <c r="AD213" s="2052"/>
      <c r="AE213" s="2052"/>
      <c r="AF213" s="2053">
        <v>0</v>
      </c>
    </row>
    <row r="214" spans="1:32" ht="258.75">
      <c r="A214" s="2041"/>
      <c r="B214" s="2042"/>
      <c r="C214" s="2043"/>
      <c r="D214" s="2044" t="s">
        <v>568</v>
      </c>
      <c r="E214" s="2045" t="str">
        <f>E206&amp;".7"</f>
        <v>15.7</v>
      </c>
      <c r="F214" s="2046" t="s">
        <v>601</v>
      </c>
      <c r="G214" s="2047" t="s">
        <v>559</v>
      </c>
      <c r="H214" s="2048"/>
      <c r="I214" s="2048">
        <v>181.4</v>
      </c>
      <c r="J214" s="2049" t="s">
        <v>560</v>
      </c>
      <c r="K214" s="2050"/>
      <c r="L214" s="2043"/>
      <c r="M214" s="2043"/>
      <c r="N214" s="2042"/>
      <c r="O214" s="2042"/>
      <c r="P214" s="2042"/>
      <c r="Q214" s="2042"/>
      <c r="R214" s="2043"/>
      <c r="S214" s="2042"/>
      <c r="T214" s="2042"/>
      <c r="U214" s="2051"/>
      <c r="V214" s="2042"/>
      <c r="W214" s="2042"/>
      <c r="X214" s="2042"/>
      <c r="Y214" s="2042"/>
      <c r="Z214" s="2042"/>
      <c r="AA214" s="2052"/>
      <c r="AB214" s="2052"/>
      <c r="AC214" s="2052"/>
      <c r="AD214" s="2052"/>
      <c r="AE214" s="2052"/>
      <c r="AF214" s="2053">
        <v>0</v>
      </c>
    </row>
    <row r="215" spans="1:32" ht="258.75">
      <c r="A215" s="2041"/>
      <c r="B215" s="2042"/>
      <c r="C215" s="2043"/>
      <c r="D215" s="2044" t="s">
        <v>568</v>
      </c>
      <c r="E215" s="2045" t="str">
        <f>E206&amp;".8"</f>
        <v>15.8</v>
      </c>
      <c r="F215" s="2046" t="s">
        <v>602</v>
      </c>
      <c r="G215" s="2047" t="s">
        <v>559</v>
      </c>
      <c r="H215" s="2048"/>
      <c r="I215" s="2048">
        <v>182</v>
      </c>
      <c r="J215" s="2049" t="s">
        <v>560</v>
      </c>
      <c r="K215" s="2050"/>
      <c r="L215" s="2043"/>
      <c r="M215" s="2043"/>
      <c r="N215" s="2042"/>
      <c r="O215" s="2042"/>
      <c r="P215" s="2042"/>
      <c r="Q215" s="2042"/>
      <c r="R215" s="2043"/>
      <c r="S215" s="2042"/>
      <c r="T215" s="2042"/>
      <c r="U215" s="2051"/>
      <c r="V215" s="2042"/>
      <c r="W215" s="2042"/>
      <c r="X215" s="2042"/>
      <c r="Y215" s="2042"/>
      <c r="Z215" s="2042"/>
      <c r="AA215" s="2052"/>
      <c r="AB215" s="2052"/>
      <c r="AC215" s="2052"/>
      <c r="AD215" s="2052"/>
      <c r="AE215" s="2052"/>
      <c r="AF215" s="2053">
        <v>0</v>
      </c>
    </row>
    <row r="216" spans="1:32" ht="258.75">
      <c r="A216" s="2041"/>
      <c r="B216" s="2042"/>
      <c r="C216" s="2043"/>
      <c r="D216" s="2044" t="s">
        <v>568</v>
      </c>
      <c r="E216" s="2045" t="str">
        <f>E206&amp;".9"</f>
        <v>15.9</v>
      </c>
      <c r="F216" s="2046" t="s">
        <v>603</v>
      </c>
      <c r="G216" s="2047" t="s">
        <v>559</v>
      </c>
      <c r="H216" s="2048"/>
      <c r="I216" s="2048">
        <v>177.3</v>
      </c>
      <c r="J216" s="2049" t="s">
        <v>560</v>
      </c>
      <c r="K216" s="2050"/>
      <c r="L216" s="2043"/>
      <c r="M216" s="2043"/>
      <c r="N216" s="2042"/>
      <c r="O216" s="2042"/>
      <c r="P216" s="2042"/>
      <c r="Q216" s="2042"/>
      <c r="R216" s="2043"/>
      <c r="S216" s="2042"/>
      <c r="T216" s="2042"/>
      <c r="U216" s="2051"/>
      <c r="V216" s="2042"/>
      <c r="W216" s="2042"/>
      <c r="X216" s="2042"/>
      <c r="Y216" s="2042"/>
      <c r="Z216" s="2042"/>
      <c r="AA216" s="2052"/>
      <c r="AB216" s="2052"/>
      <c r="AC216" s="2052"/>
      <c r="AD216" s="2052"/>
      <c r="AE216" s="2052"/>
      <c r="AF216" s="2053">
        <v>0</v>
      </c>
    </row>
    <row r="217" spans="1:32" ht="258.75">
      <c r="A217" s="2041"/>
      <c r="B217" s="2042"/>
      <c r="C217" s="2043"/>
      <c r="D217" s="2044" t="s">
        <v>568</v>
      </c>
      <c r="E217" s="2045" t="str">
        <f>E206&amp;".10"</f>
        <v>15.10</v>
      </c>
      <c r="F217" s="2046" t="s">
        <v>604</v>
      </c>
      <c r="G217" s="2047" t="s">
        <v>559</v>
      </c>
      <c r="H217" s="2048"/>
      <c r="I217" s="2048">
        <v>155</v>
      </c>
      <c r="J217" s="2049" t="s">
        <v>560</v>
      </c>
      <c r="K217" s="2050"/>
      <c r="L217" s="2043"/>
      <c r="M217" s="2043"/>
      <c r="N217" s="2042"/>
      <c r="O217" s="2042"/>
      <c r="P217" s="2042"/>
      <c r="Q217" s="2042"/>
      <c r="R217" s="2043"/>
      <c r="S217" s="2042"/>
      <c r="T217" s="2042"/>
      <c r="U217" s="2051"/>
      <c r="V217" s="2042"/>
      <c r="W217" s="2042"/>
      <c r="X217" s="2042"/>
      <c r="Y217" s="2042"/>
      <c r="Z217" s="2042"/>
      <c r="AA217" s="2052"/>
      <c r="AB217" s="2052"/>
      <c r="AC217" s="2052"/>
      <c r="AD217" s="2052"/>
      <c r="AE217" s="2052"/>
      <c r="AF217" s="2053">
        <v>0</v>
      </c>
    </row>
    <row r="218" spans="1:32" ht="258.75">
      <c r="A218" s="2041"/>
      <c r="B218" s="2042"/>
      <c r="C218" s="2043"/>
      <c r="D218" s="2044" t="s">
        <v>568</v>
      </c>
      <c r="E218" s="2045" t="str">
        <f>E206&amp;".11"</f>
        <v>15.11</v>
      </c>
      <c r="F218" s="2046" t="s">
        <v>605</v>
      </c>
      <c r="G218" s="2047" t="s">
        <v>559</v>
      </c>
      <c r="H218" s="2048"/>
      <c r="I218" s="2048">
        <v>175.1</v>
      </c>
      <c r="J218" s="2049" t="s">
        <v>560</v>
      </c>
      <c r="K218" s="2050"/>
      <c r="L218" s="2043"/>
      <c r="M218" s="2043"/>
      <c r="N218" s="2042"/>
      <c r="O218" s="2042"/>
      <c r="P218" s="2042"/>
      <c r="Q218" s="2042"/>
      <c r="R218" s="2043"/>
      <c r="S218" s="2042"/>
      <c r="T218" s="2042"/>
      <c r="U218" s="2051"/>
      <c r="V218" s="2042"/>
      <c r="W218" s="2042"/>
      <c r="X218" s="2042"/>
      <c r="Y218" s="2042"/>
      <c r="Z218" s="2042"/>
      <c r="AA218" s="2052"/>
      <c r="AB218" s="2052"/>
      <c r="AC218" s="2052"/>
      <c r="AD218" s="2052"/>
      <c r="AE218" s="2052"/>
      <c r="AF218" s="2053">
        <v>0</v>
      </c>
    </row>
    <row r="219" spans="1:32" ht="258.75">
      <c r="A219" s="2041"/>
      <c r="B219" s="2042"/>
      <c r="C219" s="2043"/>
      <c r="D219" s="2044" t="s">
        <v>568</v>
      </c>
      <c r="E219" s="2045" t="str">
        <f>E206&amp;".12"</f>
        <v>15.12</v>
      </c>
      <c r="F219" s="2046" t="s">
        <v>606</v>
      </c>
      <c r="G219" s="2047" t="s">
        <v>559</v>
      </c>
      <c r="H219" s="2048"/>
      <c r="I219" s="2048">
        <v>180.8</v>
      </c>
      <c r="J219" s="2049" t="s">
        <v>560</v>
      </c>
      <c r="K219" s="2050"/>
      <c r="L219" s="2043"/>
      <c r="M219" s="2043"/>
      <c r="N219" s="2042"/>
      <c r="O219" s="2042"/>
      <c r="P219" s="2042"/>
      <c r="Q219" s="2042"/>
      <c r="R219" s="2043"/>
      <c r="S219" s="2042"/>
      <c r="T219" s="2042"/>
      <c r="U219" s="2051"/>
      <c r="V219" s="2042"/>
      <c r="W219" s="2042"/>
      <c r="X219" s="2042"/>
      <c r="Y219" s="2042"/>
      <c r="Z219" s="2042"/>
      <c r="AA219" s="2052"/>
      <c r="AB219" s="2052"/>
      <c r="AC219" s="2052"/>
      <c r="AD219" s="2052"/>
      <c r="AE219" s="2052"/>
      <c r="AF219" s="2053">
        <v>0</v>
      </c>
    </row>
    <row r="220" spans="1:32" ht="258.75">
      <c r="A220" s="2041"/>
      <c r="B220" s="2042"/>
      <c r="C220" s="2043"/>
      <c r="D220" s="2044" t="s">
        <v>568</v>
      </c>
      <c r="E220" s="2045" t="str">
        <f>E206&amp;".13"</f>
        <v>15.13</v>
      </c>
      <c r="F220" s="2046" t="s">
        <v>607</v>
      </c>
      <c r="G220" s="2047" t="s">
        <v>559</v>
      </c>
      <c r="H220" s="2048"/>
      <c r="I220" s="2048">
        <v>184.2</v>
      </c>
      <c r="J220" s="2049" t="s">
        <v>560</v>
      </c>
      <c r="K220" s="2050"/>
      <c r="L220" s="2043"/>
      <c r="M220" s="2043"/>
      <c r="N220" s="2042"/>
      <c r="O220" s="2042"/>
      <c r="P220" s="2042"/>
      <c r="Q220" s="2042"/>
      <c r="R220" s="2043"/>
      <c r="S220" s="2042"/>
      <c r="T220" s="2042"/>
      <c r="U220" s="2051"/>
      <c r="V220" s="2042"/>
      <c r="W220" s="2042"/>
      <c r="X220" s="2042"/>
      <c r="Y220" s="2042"/>
      <c r="Z220" s="2042"/>
      <c r="AA220" s="2052"/>
      <c r="AB220" s="2052"/>
      <c r="AC220" s="2052"/>
      <c r="AD220" s="2052"/>
      <c r="AE220" s="2052"/>
      <c r="AF220" s="2053">
        <v>0</v>
      </c>
    </row>
    <row r="221" spans="1:32" ht="258.75">
      <c r="A221" s="2041"/>
      <c r="B221" s="2042"/>
      <c r="C221" s="2043"/>
      <c r="D221" s="2044" t="s">
        <v>568</v>
      </c>
      <c r="E221" s="2045" t="str">
        <f>E206&amp;".14"</f>
        <v>15.14</v>
      </c>
      <c r="F221" s="2046" t="s">
        <v>608</v>
      </c>
      <c r="G221" s="2047" t="s">
        <v>559</v>
      </c>
      <c r="H221" s="2048"/>
      <c r="I221" s="2048">
        <v>178.8</v>
      </c>
      <c r="J221" s="2049" t="s">
        <v>560</v>
      </c>
      <c r="K221" s="2050"/>
      <c r="L221" s="2043"/>
      <c r="M221" s="2043"/>
      <c r="N221" s="2042"/>
      <c r="O221" s="2042"/>
      <c r="P221" s="2042"/>
      <c r="Q221" s="2042"/>
      <c r="R221" s="2043"/>
      <c r="S221" s="2042"/>
      <c r="T221" s="2042"/>
      <c r="U221" s="2051"/>
      <c r="V221" s="2042"/>
      <c r="W221" s="2042"/>
      <c r="X221" s="2042"/>
      <c r="Y221" s="2042"/>
      <c r="Z221" s="2042"/>
      <c r="AA221" s="2052"/>
      <c r="AB221" s="2052"/>
      <c r="AC221" s="2052"/>
      <c r="AD221" s="2052"/>
      <c r="AE221" s="2052"/>
      <c r="AF221" s="2053">
        <v>0</v>
      </c>
    </row>
    <row r="222" spans="1:32" ht="258.75">
      <c r="A222" s="2041"/>
      <c r="B222" s="2042"/>
      <c r="C222" s="2043"/>
      <c r="D222" s="2044" t="s">
        <v>568</v>
      </c>
      <c r="E222" s="2045" t="str">
        <f>E206&amp;".15"</f>
        <v>15.15</v>
      </c>
      <c r="F222" s="2046" t="s">
        <v>609</v>
      </c>
      <c r="G222" s="2047" t="s">
        <v>559</v>
      </c>
      <c r="H222" s="2048"/>
      <c r="I222" s="2048">
        <v>153.9</v>
      </c>
      <c r="J222" s="2049" t="s">
        <v>560</v>
      </c>
      <c r="K222" s="2050"/>
      <c r="L222" s="2043"/>
      <c r="M222" s="2043"/>
      <c r="N222" s="2042"/>
      <c r="O222" s="2042"/>
      <c r="P222" s="2042"/>
      <c r="Q222" s="2042"/>
      <c r="R222" s="2043"/>
      <c r="S222" s="2042"/>
      <c r="T222" s="2042"/>
      <c r="U222" s="2051"/>
      <c r="V222" s="2042"/>
      <c r="W222" s="2042"/>
      <c r="X222" s="2042"/>
      <c r="Y222" s="2042"/>
      <c r="Z222" s="2042"/>
      <c r="AA222" s="2052"/>
      <c r="AB222" s="2052"/>
      <c r="AC222" s="2052"/>
      <c r="AD222" s="2052"/>
      <c r="AE222" s="2052"/>
      <c r="AF222" s="2053">
        <v>0</v>
      </c>
    </row>
    <row r="223" spans="1:32" ht="258.75">
      <c r="A223" s="2041"/>
      <c r="B223" s="2042"/>
      <c r="C223" s="2043"/>
      <c r="D223" s="2044" t="s">
        <v>568</v>
      </c>
      <c r="E223" s="2045" t="str">
        <f>E206&amp;".16"</f>
        <v>15.16</v>
      </c>
      <c r="F223" s="2046" t="s">
        <v>610</v>
      </c>
      <c r="G223" s="2047" t="s">
        <v>559</v>
      </c>
      <c r="H223" s="2048"/>
      <c r="I223" s="2048">
        <v>177.9</v>
      </c>
      <c r="J223" s="2049" t="s">
        <v>560</v>
      </c>
      <c r="K223" s="2050"/>
      <c r="L223" s="2043"/>
      <c r="M223" s="2043"/>
      <c r="N223" s="2042"/>
      <c r="O223" s="2042"/>
      <c r="P223" s="2042"/>
      <c r="Q223" s="2042"/>
      <c r="R223" s="2043"/>
      <c r="S223" s="2042"/>
      <c r="T223" s="2042"/>
      <c r="U223" s="2051"/>
      <c r="V223" s="2042"/>
      <c r="W223" s="2042"/>
      <c r="X223" s="2042"/>
      <c r="Y223" s="2042"/>
      <c r="Z223" s="2042"/>
      <c r="AA223" s="2052"/>
      <c r="AB223" s="2052"/>
      <c r="AC223" s="2052"/>
      <c r="AD223" s="2052"/>
      <c r="AE223" s="2052"/>
      <c r="AF223" s="2053">
        <v>0</v>
      </c>
    </row>
    <row r="224" spans="1:32" ht="258.75">
      <c r="A224" s="2041"/>
      <c r="B224" s="2042"/>
      <c r="C224" s="2043"/>
      <c r="D224" s="2044" t="s">
        <v>568</v>
      </c>
      <c r="E224" s="2045" t="str">
        <f>E206&amp;".17"</f>
        <v>15.17</v>
      </c>
      <c r="F224" s="2046" t="s">
        <v>611</v>
      </c>
      <c r="G224" s="2047" t="s">
        <v>559</v>
      </c>
      <c r="H224" s="2048"/>
      <c r="I224" s="2048">
        <v>165.1</v>
      </c>
      <c r="J224" s="2049" t="s">
        <v>560</v>
      </c>
      <c r="K224" s="2050"/>
      <c r="L224" s="2043"/>
      <c r="M224" s="2043"/>
      <c r="N224" s="2042"/>
      <c r="O224" s="2042"/>
      <c r="P224" s="2042"/>
      <c r="Q224" s="2042"/>
      <c r="R224" s="2043"/>
      <c r="S224" s="2042"/>
      <c r="T224" s="2042"/>
      <c r="U224" s="2051"/>
      <c r="V224" s="2042"/>
      <c r="W224" s="2042"/>
      <c r="X224" s="2042"/>
      <c r="Y224" s="2042"/>
      <c r="Z224" s="2042"/>
      <c r="AA224" s="2052"/>
      <c r="AB224" s="2052"/>
      <c r="AC224" s="2052"/>
      <c r="AD224" s="2052"/>
      <c r="AE224" s="2052"/>
      <c r="AF224" s="2053">
        <v>0</v>
      </c>
    </row>
    <row r="225" spans="1:32" ht="258.75">
      <c r="A225" s="2041"/>
      <c r="B225" s="2042"/>
      <c r="C225" s="2043"/>
      <c r="D225" s="2044" t="s">
        <v>568</v>
      </c>
      <c r="E225" s="2045" t="str">
        <f>E206&amp;".18"</f>
        <v>15.18</v>
      </c>
      <c r="F225" s="2046" t="s">
        <v>612</v>
      </c>
      <c r="G225" s="2047" t="s">
        <v>559</v>
      </c>
      <c r="H225" s="2048"/>
      <c r="I225" s="2048">
        <v>153</v>
      </c>
      <c r="J225" s="2049" t="s">
        <v>560</v>
      </c>
      <c r="K225" s="2050"/>
      <c r="L225" s="2043"/>
      <c r="M225" s="2043"/>
      <c r="N225" s="2042"/>
      <c r="O225" s="2042"/>
      <c r="P225" s="2042"/>
      <c r="Q225" s="2042"/>
      <c r="R225" s="2043"/>
      <c r="S225" s="2042"/>
      <c r="T225" s="2042"/>
      <c r="U225" s="2051"/>
      <c r="V225" s="2042"/>
      <c r="W225" s="2042"/>
      <c r="X225" s="2042"/>
      <c r="Y225" s="2042"/>
      <c r="Z225" s="2042"/>
      <c r="AA225" s="2052"/>
      <c r="AB225" s="2052"/>
      <c r="AC225" s="2052"/>
      <c r="AD225" s="2052"/>
      <c r="AE225" s="2052"/>
      <c r="AF225" s="2053">
        <v>0</v>
      </c>
    </row>
    <row r="226" spans="1:32" ht="258.75">
      <c r="A226" s="2041"/>
      <c r="B226" s="2042"/>
      <c r="C226" s="2043"/>
      <c r="D226" s="2044" t="s">
        <v>568</v>
      </c>
      <c r="E226" s="2045" t="str">
        <f>E206&amp;".19"</f>
        <v>15.19</v>
      </c>
      <c r="F226" s="2046" t="s">
        <v>613</v>
      </c>
      <c r="G226" s="2047" t="s">
        <v>559</v>
      </c>
      <c r="H226" s="2048"/>
      <c r="I226" s="2048">
        <v>175.2</v>
      </c>
      <c r="J226" s="2049" t="s">
        <v>560</v>
      </c>
      <c r="K226" s="2050"/>
      <c r="L226" s="2043"/>
      <c r="M226" s="2043"/>
      <c r="N226" s="2042"/>
      <c r="O226" s="2042"/>
      <c r="P226" s="2042"/>
      <c r="Q226" s="2042"/>
      <c r="R226" s="2043"/>
      <c r="S226" s="2042"/>
      <c r="T226" s="2042"/>
      <c r="U226" s="2051"/>
      <c r="V226" s="2042"/>
      <c r="W226" s="2042"/>
      <c r="X226" s="2042"/>
      <c r="Y226" s="2042"/>
      <c r="Z226" s="2042"/>
      <c r="AA226" s="2052"/>
      <c r="AB226" s="2052"/>
      <c r="AC226" s="2052"/>
      <c r="AD226" s="2052"/>
      <c r="AE226" s="2052"/>
      <c r="AF226" s="2053">
        <v>0</v>
      </c>
    </row>
    <row r="227" spans="1:32" ht="258.75">
      <c r="A227" s="2041"/>
      <c r="B227" s="2042"/>
      <c r="C227" s="2043"/>
      <c r="D227" s="2044" t="s">
        <v>568</v>
      </c>
      <c r="E227" s="2045" t="str">
        <f>E206&amp;".20"</f>
        <v>15.20</v>
      </c>
      <c r="F227" s="2046" t="s">
        <v>614</v>
      </c>
      <c r="G227" s="2047" t="s">
        <v>559</v>
      </c>
      <c r="H227" s="2048"/>
      <c r="I227" s="2048">
        <v>153.1</v>
      </c>
      <c r="J227" s="2049" t="s">
        <v>560</v>
      </c>
      <c r="K227" s="2050"/>
      <c r="L227" s="2043"/>
      <c r="M227" s="2043"/>
      <c r="N227" s="2042"/>
      <c r="O227" s="2042"/>
      <c r="P227" s="2042"/>
      <c r="Q227" s="2042"/>
      <c r="R227" s="2043"/>
      <c r="S227" s="2042"/>
      <c r="T227" s="2042"/>
      <c r="U227" s="2051"/>
      <c r="V227" s="2042"/>
      <c r="W227" s="2042"/>
      <c r="X227" s="2042"/>
      <c r="Y227" s="2042"/>
      <c r="Z227" s="2042"/>
      <c r="AA227" s="2052"/>
      <c r="AB227" s="2052"/>
      <c r="AC227" s="2052"/>
      <c r="AD227" s="2052"/>
      <c r="AE227" s="2052"/>
      <c r="AF227" s="2053">
        <v>0</v>
      </c>
    </row>
    <row r="228" spans="1:32" ht="258.75">
      <c r="A228" s="2041"/>
      <c r="B228" s="2042"/>
      <c r="C228" s="2043"/>
      <c r="D228" s="2044" t="s">
        <v>568</v>
      </c>
      <c r="E228" s="2045" t="str">
        <f>E206&amp;".21"</f>
        <v>15.21</v>
      </c>
      <c r="F228" s="2046" t="s">
        <v>615</v>
      </c>
      <c r="G228" s="2047" t="s">
        <v>559</v>
      </c>
      <c r="H228" s="2048"/>
      <c r="I228" s="2048">
        <v>175.8</v>
      </c>
      <c r="J228" s="2049" t="s">
        <v>560</v>
      </c>
      <c r="K228" s="2050"/>
      <c r="L228" s="2043"/>
      <c r="M228" s="2043"/>
      <c r="N228" s="2042"/>
      <c r="O228" s="2042"/>
      <c r="P228" s="2042"/>
      <c r="Q228" s="2042"/>
      <c r="R228" s="2043"/>
      <c r="S228" s="2042"/>
      <c r="T228" s="2042"/>
      <c r="U228" s="2051"/>
      <c r="V228" s="2042"/>
      <c r="W228" s="2042"/>
      <c r="X228" s="2042"/>
      <c r="Y228" s="2042"/>
      <c r="Z228" s="2042"/>
      <c r="AA228" s="2052"/>
      <c r="AB228" s="2052"/>
      <c r="AC228" s="2052"/>
      <c r="AD228" s="2052"/>
      <c r="AE228" s="2052"/>
      <c r="AF228" s="2053">
        <v>0</v>
      </c>
    </row>
    <row r="229" spans="1:32" ht="258.75">
      <c r="A229" s="2041"/>
      <c r="B229" s="2042"/>
      <c r="C229" s="2043"/>
      <c r="D229" s="2044" t="s">
        <v>568</v>
      </c>
      <c r="E229" s="2045" t="str">
        <f>E206&amp;".22"</f>
        <v>15.22</v>
      </c>
      <c r="F229" s="2046" t="s">
        <v>616</v>
      </c>
      <c r="G229" s="2047" t="s">
        <v>559</v>
      </c>
      <c r="H229" s="2048"/>
      <c r="I229" s="2048">
        <v>166.3</v>
      </c>
      <c r="J229" s="2049" t="s">
        <v>560</v>
      </c>
      <c r="K229" s="2050"/>
      <c r="L229" s="2043"/>
      <c r="M229" s="2043"/>
      <c r="N229" s="2042"/>
      <c r="O229" s="2042"/>
      <c r="P229" s="2042"/>
      <c r="Q229" s="2042"/>
      <c r="R229" s="2043"/>
      <c r="S229" s="2042"/>
      <c r="T229" s="2042"/>
      <c r="U229" s="2051"/>
      <c r="V229" s="2042"/>
      <c r="W229" s="2042"/>
      <c r="X229" s="2042"/>
      <c r="Y229" s="2042"/>
      <c r="Z229" s="2042"/>
      <c r="AA229" s="2052"/>
      <c r="AB229" s="2052"/>
      <c r="AC229" s="2052"/>
      <c r="AD229" s="2052"/>
      <c r="AE229" s="2052"/>
      <c r="AF229" s="2053">
        <v>0</v>
      </c>
    </row>
    <row r="230" spans="1:32" ht="258.75">
      <c r="A230" s="2041"/>
      <c r="B230" s="2042"/>
      <c r="C230" s="2043"/>
      <c r="D230" s="2044" t="s">
        <v>568</v>
      </c>
      <c r="E230" s="2045" t="str">
        <f>E206&amp;".23"</f>
        <v>15.23</v>
      </c>
      <c r="F230" s="2046" t="s">
        <v>617</v>
      </c>
      <c r="G230" s="2047" t="s">
        <v>559</v>
      </c>
      <c r="H230" s="2048"/>
      <c r="I230" s="2048">
        <v>163.5</v>
      </c>
      <c r="J230" s="2049" t="s">
        <v>560</v>
      </c>
      <c r="K230" s="2050"/>
      <c r="L230" s="2043"/>
      <c r="M230" s="2043"/>
      <c r="N230" s="2042"/>
      <c r="O230" s="2042"/>
      <c r="P230" s="2042"/>
      <c r="Q230" s="2042"/>
      <c r="R230" s="2043"/>
      <c r="S230" s="2042"/>
      <c r="T230" s="2042"/>
      <c r="U230" s="2051"/>
      <c r="V230" s="2042"/>
      <c r="W230" s="2042"/>
      <c r="X230" s="2042"/>
      <c r="Y230" s="2042"/>
      <c r="Z230" s="2042"/>
      <c r="AA230" s="2052"/>
      <c r="AB230" s="2052"/>
      <c r="AC230" s="2052"/>
      <c r="AD230" s="2052"/>
      <c r="AE230" s="2052"/>
      <c r="AF230" s="2053">
        <v>0</v>
      </c>
    </row>
    <row r="231" spans="1:32" ht="258.75">
      <c r="A231" s="2041"/>
      <c r="B231" s="2042"/>
      <c r="C231" s="2043"/>
      <c r="D231" s="2044" t="s">
        <v>568</v>
      </c>
      <c r="E231" s="2045" t="str">
        <f>E206&amp;".24"</f>
        <v>15.24</v>
      </c>
      <c r="F231" s="2046" t="s">
        <v>618</v>
      </c>
      <c r="G231" s="2047" t="s">
        <v>559</v>
      </c>
      <c r="H231" s="2048"/>
      <c r="I231" s="2048">
        <v>163.4</v>
      </c>
      <c r="J231" s="2049" t="s">
        <v>560</v>
      </c>
      <c r="K231" s="2050"/>
      <c r="L231" s="2043"/>
      <c r="M231" s="2043"/>
      <c r="N231" s="2042"/>
      <c r="O231" s="2042"/>
      <c r="P231" s="2042"/>
      <c r="Q231" s="2042"/>
      <c r="R231" s="2043"/>
      <c r="S231" s="2042"/>
      <c r="T231" s="2042"/>
      <c r="U231" s="2051"/>
      <c r="V231" s="2042"/>
      <c r="W231" s="2042"/>
      <c r="X231" s="2042"/>
      <c r="Y231" s="2042"/>
      <c r="Z231" s="2042"/>
      <c r="AA231" s="2052"/>
      <c r="AB231" s="2052"/>
      <c r="AC231" s="2052"/>
      <c r="AD231" s="2052"/>
      <c r="AE231" s="2052"/>
      <c r="AF231" s="2053">
        <v>0</v>
      </c>
    </row>
    <row r="232" spans="1:32" ht="258.75">
      <c r="A232" s="2041"/>
      <c r="B232" s="2042"/>
      <c r="C232" s="2043"/>
      <c r="D232" s="2044" t="s">
        <v>568</v>
      </c>
      <c r="E232" s="2045" t="str">
        <f>E206&amp;".25"</f>
        <v>15.25</v>
      </c>
      <c r="F232" s="2046" t="s">
        <v>619</v>
      </c>
      <c r="G232" s="2047" t="s">
        <v>559</v>
      </c>
      <c r="H232" s="2048"/>
      <c r="I232" s="2048">
        <v>168.4</v>
      </c>
      <c r="J232" s="2049" t="s">
        <v>560</v>
      </c>
      <c r="K232" s="2050"/>
      <c r="L232" s="2043"/>
      <c r="M232" s="2043"/>
      <c r="N232" s="2042"/>
      <c r="O232" s="2042"/>
      <c r="P232" s="2042"/>
      <c r="Q232" s="2042"/>
      <c r="R232" s="2043"/>
      <c r="S232" s="2042"/>
      <c r="T232" s="2042"/>
      <c r="U232" s="2051"/>
      <c r="V232" s="2042"/>
      <c r="W232" s="2042"/>
      <c r="X232" s="2042"/>
      <c r="Y232" s="2042"/>
      <c r="Z232" s="2042"/>
      <c r="AA232" s="2052"/>
      <c r="AB232" s="2052"/>
      <c r="AC232" s="2052"/>
      <c r="AD232" s="2052"/>
      <c r="AE232" s="2052"/>
      <c r="AF232" s="2053">
        <v>0</v>
      </c>
    </row>
    <row r="233" spans="1:32" ht="258.75">
      <c r="A233" s="2041"/>
      <c r="B233" s="2042"/>
      <c r="C233" s="2043"/>
      <c r="D233" s="2044" t="s">
        <v>568</v>
      </c>
      <c r="E233" s="2045" t="str">
        <f>E206&amp;".26"</f>
        <v>15.26</v>
      </c>
      <c r="F233" s="2046" t="s">
        <v>620</v>
      </c>
      <c r="G233" s="2047" t="s">
        <v>559</v>
      </c>
      <c r="H233" s="2048"/>
      <c r="I233" s="2048">
        <v>179.6</v>
      </c>
      <c r="J233" s="2049" t="s">
        <v>560</v>
      </c>
      <c r="K233" s="2050"/>
      <c r="L233" s="2043"/>
      <c r="M233" s="2043"/>
      <c r="N233" s="2042"/>
      <c r="O233" s="2042"/>
      <c r="P233" s="2042"/>
      <c r="Q233" s="2042"/>
      <c r="R233" s="2043"/>
      <c r="S233" s="2042"/>
      <c r="T233" s="2042"/>
      <c r="U233" s="2051"/>
      <c r="V233" s="2042"/>
      <c r="W233" s="2042"/>
      <c r="X233" s="2042"/>
      <c r="Y233" s="2042"/>
      <c r="Z233" s="2042"/>
      <c r="AA233" s="2052"/>
      <c r="AB233" s="2052"/>
      <c r="AC233" s="2052"/>
      <c r="AD233" s="2052"/>
      <c r="AE233" s="2052"/>
      <c r="AF233" s="2053">
        <v>0</v>
      </c>
    </row>
    <row r="234" spans="1:32" ht="258.75">
      <c r="A234" s="2041"/>
      <c r="B234" s="2042"/>
      <c r="C234" s="2043"/>
      <c r="D234" s="2044" t="s">
        <v>568</v>
      </c>
      <c r="E234" s="2045" t="str">
        <f>E206&amp;".27"</f>
        <v>15.27</v>
      </c>
      <c r="F234" s="2046" t="s">
        <v>621</v>
      </c>
      <c r="G234" s="2047" t="s">
        <v>559</v>
      </c>
      <c r="H234" s="2048"/>
      <c r="I234" s="2048">
        <v>170.6</v>
      </c>
      <c r="J234" s="2049" t="s">
        <v>560</v>
      </c>
      <c r="K234" s="2050"/>
      <c r="L234" s="2043"/>
      <c r="M234" s="2043"/>
      <c r="N234" s="2042"/>
      <c r="O234" s="2042"/>
      <c r="P234" s="2042"/>
      <c r="Q234" s="2042"/>
      <c r="R234" s="2043"/>
      <c r="S234" s="2042"/>
      <c r="T234" s="2042"/>
      <c r="U234" s="2051"/>
      <c r="V234" s="2042"/>
      <c r="W234" s="2042"/>
      <c r="X234" s="2042"/>
      <c r="Y234" s="2042"/>
      <c r="Z234" s="2042"/>
      <c r="AA234" s="2052"/>
      <c r="AB234" s="2052"/>
      <c r="AC234" s="2052"/>
      <c r="AD234" s="2052"/>
      <c r="AE234" s="2052"/>
      <c r="AF234" s="2053">
        <v>0</v>
      </c>
    </row>
    <row r="235" spans="1:32" ht="258.75">
      <c r="A235" s="2041"/>
      <c r="B235" s="2042"/>
      <c r="C235" s="2043"/>
      <c r="D235" s="2044" t="s">
        <v>568</v>
      </c>
      <c r="E235" s="2045" t="str">
        <f>E206&amp;".28"</f>
        <v>15.28</v>
      </c>
      <c r="F235" s="2046" t="s">
        <v>622</v>
      </c>
      <c r="G235" s="2047" t="s">
        <v>559</v>
      </c>
      <c r="H235" s="2048"/>
      <c r="I235" s="2048">
        <v>171.5</v>
      </c>
      <c r="J235" s="2049" t="s">
        <v>560</v>
      </c>
      <c r="K235" s="2050"/>
      <c r="L235" s="2043"/>
      <c r="M235" s="2043"/>
      <c r="N235" s="2042"/>
      <c r="O235" s="2042"/>
      <c r="P235" s="2042"/>
      <c r="Q235" s="2042"/>
      <c r="R235" s="2043"/>
      <c r="S235" s="2042"/>
      <c r="T235" s="2042"/>
      <c r="U235" s="2051"/>
      <c r="V235" s="2042"/>
      <c r="W235" s="2042"/>
      <c r="X235" s="2042"/>
      <c r="Y235" s="2042"/>
      <c r="Z235" s="2042"/>
      <c r="AA235" s="2052"/>
      <c r="AB235" s="2052"/>
      <c r="AC235" s="2052"/>
      <c r="AD235" s="2052"/>
      <c r="AE235" s="2052"/>
      <c r="AF235" s="2053">
        <v>0</v>
      </c>
    </row>
    <row r="236" spans="1:32" ht="258.75">
      <c r="A236" s="2041"/>
      <c r="B236" s="2042"/>
      <c r="C236" s="2043"/>
      <c r="D236" s="2044" t="s">
        <v>568</v>
      </c>
      <c r="E236" s="2045" t="str">
        <f>E206&amp;".29"</f>
        <v>15.29</v>
      </c>
      <c r="F236" s="2046" t="s">
        <v>623</v>
      </c>
      <c r="G236" s="2047" t="s">
        <v>559</v>
      </c>
      <c r="H236" s="2048"/>
      <c r="I236" s="2048">
        <v>176.8</v>
      </c>
      <c r="J236" s="2049" t="s">
        <v>560</v>
      </c>
      <c r="K236" s="2050"/>
      <c r="L236" s="2043"/>
      <c r="M236" s="2043"/>
      <c r="N236" s="2042"/>
      <c r="O236" s="2042"/>
      <c r="P236" s="2042"/>
      <c r="Q236" s="2042"/>
      <c r="R236" s="2043"/>
      <c r="S236" s="2042"/>
      <c r="T236" s="2042"/>
      <c r="U236" s="2051"/>
      <c r="V236" s="2042"/>
      <c r="W236" s="2042"/>
      <c r="X236" s="2042"/>
      <c r="Y236" s="2042"/>
      <c r="Z236" s="2042"/>
      <c r="AA236" s="2052"/>
      <c r="AB236" s="2052"/>
      <c r="AC236" s="2052"/>
      <c r="AD236" s="2052"/>
      <c r="AE236" s="2052"/>
      <c r="AF236" s="2053">
        <v>0</v>
      </c>
    </row>
    <row r="237" spans="1:32" ht="258.75">
      <c r="A237" s="2041"/>
      <c r="B237" s="2042"/>
      <c r="C237" s="2043"/>
      <c r="D237" s="2044" t="s">
        <v>568</v>
      </c>
      <c r="E237" s="2045" t="str">
        <f>E206&amp;".30"</f>
        <v>15.30</v>
      </c>
      <c r="F237" s="2046" t="s">
        <v>624</v>
      </c>
      <c r="G237" s="2047" t="s">
        <v>559</v>
      </c>
      <c r="H237" s="2048"/>
      <c r="I237" s="2048">
        <v>189.1</v>
      </c>
      <c r="J237" s="2049" t="s">
        <v>560</v>
      </c>
      <c r="K237" s="2050"/>
      <c r="L237" s="2043"/>
      <c r="M237" s="2043"/>
      <c r="N237" s="2042"/>
      <c r="O237" s="2042"/>
      <c r="P237" s="2042"/>
      <c r="Q237" s="2042"/>
      <c r="R237" s="2043"/>
      <c r="S237" s="2042"/>
      <c r="T237" s="2042"/>
      <c r="U237" s="2051"/>
      <c r="V237" s="2042"/>
      <c r="W237" s="2042"/>
      <c r="X237" s="2042"/>
      <c r="Y237" s="2042"/>
      <c r="Z237" s="2042"/>
      <c r="AA237" s="2052"/>
      <c r="AB237" s="2052"/>
      <c r="AC237" s="2052"/>
      <c r="AD237" s="2052"/>
      <c r="AE237" s="2052"/>
      <c r="AF237" s="2053">
        <v>0</v>
      </c>
    </row>
    <row r="238" spans="1:32" ht="258.75">
      <c r="A238" s="2041"/>
      <c r="B238" s="2042"/>
      <c r="C238" s="2043"/>
      <c r="D238" s="2044" t="s">
        <v>568</v>
      </c>
      <c r="E238" s="2045" t="str">
        <f>E206&amp;".31"</f>
        <v>15.31</v>
      </c>
      <c r="F238" s="2046" t="s">
        <v>625</v>
      </c>
      <c r="G238" s="2047" t="s">
        <v>559</v>
      </c>
      <c r="H238" s="2048"/>
      <c r="I238" s="2048">
        <v>165.4</v>
      </c>
      <c r="J238" s="2049" t="s">
        <v>560</v>
      </c>
      <c r="K238" s="2050"/>
      <c r="L238" s="2043"/>
      <c r="M238" s="2043"/>
      <c r="N238" s="2042"/>
      <c r="O238" s="2042"/>
      <c r="P238" s="2042"/>
      <c r="Q238" s="2042"/>
      <c r="R238" s="2043"/>
      <c r="S238" s="2042"/>
      <c r="T238" s="2042"/>
      <c r="U238" s="2051"/>
      <c r="V238" s="2042"/>
      <c r="W238" s="2042"/>
      <c r="X238" s="2042"/>
      <c r="Y238" s="2042"/>
      <c r="Z238" s="2042"/>
      <c r="AA238" s="2052"/>
      <c r="AB238" s="2052"/>
      <c r="AC238" s="2052"/>
      <c r="AD238" s="2052"/>
      <c r="AE238" s="2052"/>
      <c r="AF238" s="2053">
        <v>0</v>
      </c>
    </row>
    <row r="239" spans="1:32" ht="258.75">
      <c r="A239" s="2041"/>
      <c r="B239" s="2042"/>
      <c r="C239" s="2043"/>
      <c r="D239" s="2044" t="s">
        <v>568</v>
      </c>
      <c r="E239" s="2045" t="str">
        <f>E206&amp;".32"</f>
        <v>15.32</v>
      </c>
      <c r="F239" s="2046" t="s">
        <v>626</v>
      </c>
      <c r="G239" s="2047" t="s">
        <v>559</v>
      </c>
      <c r="H239" s="2048"/>
      <c r="I239" s="2048">
        <v>183.4</v>
      </c>
      <c r="J239" s="2049" t="s">
        <v>560</v>
      </c>
      <c r="K239" s="2050"/>
      <c r="L239" s="2043"/>
      <c r="M239" s="2043"/>
      <c r="N239" s="2042"/>
      <c r="O239" s="2042"/>
      <c r="P239" s="2042"/>
      <c r="Q239" s="2042"/>
      <c r="R239" s="2043"/>
      <c r="S239" s="2042"/>
      <c r="T239" s="2042"/>
      <c r="U239" s="2051"/>
      <c r="V239" s="2042"/>
      <c r="W239" s="2042"/>
      <c r="X239" s="2042"/>
      <c r="Y239" s="2042"/>
      <c r="Z239" s="2042"/>
      <c r="AA239" s="2052"/>
      <c r="AB239" s="2052"/>
      <c r="AC239" s="2052"/>
      <c r="AD239" s="2052"/>
      <c r="AE239" s="2052"/>
      <c r="AF239" s="2053">
        <v>0</v>
      </c>
    </row>
    <row r="240" spans="1:32" ht="258.75">
      <c r="A240" s="2041"/>
      <c r="B240" s="2042"/>
      <c r="C240" s="2043"/>
      <c r="D240" s="2044" t="s">
        <v>568</v>
      </c>
      <c r="E240" s="2045" t="str">
        <f>E206&amp;".33"</f>
        <v>15.33</v>
      </c>
      <c r="F240" s="2046" t="s">
        <v>627</v>
      </c>
      <c r="G240" s="2047" t="s">
        <v>559</v>
      </c>
      <c r="H240" s="2048"/>
      <c r="I240" s="2048">
        <v>185.6</v>
      </c>
      <c r="J240" s="2049" t="s">
        <v>560</v>
      </c>
      <c r="K240" s="2050"/>
      <c r="L240" s="2043"/>
      <c r="M240" s="2043"/>
      <c r="N240" s="2042"/>
      <c r="O240" s="2042"/>
      <c r="P240" s="2042"/>
      <c r="Q240" s="2042"/>
      <c r="R240" s="2043"/>
      <c r="S240" s="2042"/>
      <c r="T240" s="2042"/>
      <c r="U240" s="2051"/>
      <c r="V240" s="2042"/>
      <c r="W240" s="2042"/>
      <c r="X240" s="2042"/>
      <c r="Y240" s="2042"/>
      <c r="Z240" s="2042"/>
      <c r="AA240" s="2052"/>
      <c r="AB240" s="2052"/>
      <c r="AC240" s="2052"/>
      <c r="AD240" s="2052"/>
      <c r="AE240" s="2052"/>
      <c r="AF240" s="2053">
        <v>0</v>
      </c>
    </row>
    <row r="241" spans="1:32" ht="258.75">
      <c r="A241" s="2041"/>
      <c r="B241" s="2042"/>
      <c r="C241" s="2043"/>
      <c r="D241" s="2044" t="s">
        <v>568</v>
      </c>
      <c r="E241" s="2045" t="str">
        <f>E206&amp;".34"</f>
        <v>15.34</v>
      </c>
      <c r="F241" s="2046" t="s">
        <v>628</v>
      </c>
      <c r="G241" s="2047" t="s">
        <v>559</v>
      </c>
      <c r="H241" s="2048"/>
      <c r="I241" s="2048">
        <v>156.6</v>
      </c>
      <c r="J241" s="2049" t="s">
        <v>560</v>
      </c>
      <c r="K241" s="2050"/>
      <c r="L241" s="2043"/>
      <c r="M241" s="2043"/>
      <c r="N241" s="2042"/>
      <c r="O241" s="2042"/>
      <c r="P241" s="2042"/>
      <c r="Q241" s="2042"/>
      <c r="R241" s="2043"/>
      <c r="S241" s="2042"/>
      <c r="T241" s="2042"/>
      <c r="U241" s="2051"/>
      <c r="V241" s="2042"/>
      <c r="W241" s="2042"/>
      <c r="X241" s="2042"/>
      <c r="Y241" s="2042"/>
      <c r="Z241" s="2042"/>
      <c r="AA241" s="2052"/>
      <c r="AB241" s="2052"/>
      <c r="AC241" s="2052"/>
      <c r="AD241" s="2052"/>
      <c r="AE241" s="2052"/>
      <c r="AF241" s="2053">
        <v>0</v>
      </c>
    </row>
    <row r="242" spans="1:32" ht="258.75">
      <c r="A242" s="2041"/>
      <c r="B242" s="2042"/>
      <c r="C242" s="2043"/>
      <c r="D242" s="2044" t="s">
        <v>568</v>
      </c>
      <c r="E242" s="2045" t="str">
        <f>E206&amp;".35"</f>
        <v>15.35</v>
      </c>
      <c r="F242" s="2046" t="s">
        <v>629</v>
      </c>
      <c r="G242" s="2047" t="s">
        <v>559</v>
      </c>
      <c r="H242" s="2048"/>
      <c r="I242" s="2048">
        <v>184.4</v>
      </c>
      <c r="J242" s="2049" t="s">
        <v>560</v>
      </c>
      <c r="K242" s="2050"/>
      <c r="L242" s="2043"/>
      <c r="M242" s="2043"/>
      <c r="N242" s="2042"/>
      <c r="O242" s="2042"/>
      <c r="P242" s="2042"/>
      <c r="Q242" s="2042"/>
      <c r="R242" s="2043"/>
      <c r="S242" s="2042"/>
      <c r="T242" s="2042"/>
      <c r="U242" s="2051"/>
      <c r="V242" s="2042"/>
      <c r="W242" s="2042"/>
      <c r="X242" s="2042"/>
      <c r="Y242" s="2042"/>
      <c r="Z242" s="2042"/>
      <c r="AA242" s="2052"/>
      <c r="AB242" s="2052"/>
      <c r="AC242" s="2052"/>
      <c r="AD242" s="2052"/>
      <c r="AE242" s="2052"/>
      <c r="AF242" s="2053">
        <v>0</v>
      </c>
    </row>
    <row r="243" spans="1:32" ht="258.75">
      <c r="A243" s="2041"/>
      <c r="B243" s="2042"/>
      <c r="C243" s="2043"/>
      <c r="D243" s="2044" t="s">
        <v>568</v>
      </c>
      <c r="E243" s="2045" t="str">
        <f>E206&amp;".36"</f>
        <v>15.36</v>
      </c>
      <c r="F243" s="2046" t="s">
        <v>630</v>
      </c>
      <c r="G243" s="2047" t="s">
        <v>559</v>
      </c>
      <c r="H243" s="2048"/>
      <c r="I243" s="2048">
        <v>160.69999999999999</v>
      </c>
      <c r="J243" s="2049" t="s">
        <v>560</v>
      </c>
      <c r="K243" s="2050"/>
      <c r="L243" s="2043"/>
      <c r="M243" s="2043"/>
      <c r="N243" s="2042"/>
      <c r="O243" s="2042"/>
      <c r="P243" s="2042"/>
      <c r="Q243" s="2042"/>
      <c r="R243" s="2043"/>
      <c r="S243" s="2042"/>
      <c r="T243" s="2042"/>
      <c r="U243" s="2051"/>
      <c r="V243" s="2042"/>
      <c r="W243" s="2042"/>
      <c r="X243" s="2042"/>
      <c r="Y243" s="2042"/>
      <c r="Z243" s="2042"/>
      <c r="AA243" s="2052"/>
      <c r="AB243" s="2052"/>
      <c r="AC243" s="2052"/>
      <c r="AD243" s="2052"/>
      <c r="AE243" s="2052"/>
      <c r="AF243" s="2053">
        <v>0</v>
      </c>
    </row>
    <row r="244" spans="1:32" ht="258.75">
      <c r="A244" s="2041"/>
      <c r="B244" s="2042"/>
      <c r="C244" s="2043"/>
      <c r="D244" s="2044" t="s">
        <v>568</v>
      </c>
      <c r="E244" s="2045" t="str">
        <f>E206&amp;".37"</f>
        <v>15.37</v>
      </c>
      <c r="F244" s="2046" t="s">
        <v>631</v>
      </c>
      <c r="G244" s="2047" t="s">
        <v>559</v>
      </c>
      <c r="H244" s="2048"/>
      <c r="I244" s="2048">
        <v>157.6</v>
      </c>
      <c r="J244" s="2049" t="s">
        <v>560</v>
      </c>
      <c r="K244" s="2050"/>
      <c r="L244" s="2043"/>
      <c r="M244" s="2043"/>
      <c r="N244" s="2042"/>
      <c r="O244" s="2042"/>
      <c r="P244" s="2042"/>
      <c r="Q244" s="2042"/>
      <c r="R244" s="2043"/>
      <c r="S244" s="2042"/>
      <c r="T244" s="2042"/>
      <c r="U244" s="2051"/>
      <c r="V244" s="2042"/>
      <c r="W244" s="2042"/>
      <c r="X244" s="2042"/>
      <c r="Y244" s="2042"/>
      <c r="Z244" s="2042"/>
      <c r="AA244" s="2052"/>
      <c r="AB244" s="2052"/>
      <c r="AC244" s="2052"/>
      <c r="AD244" s="2052"/>
      <c r="AE244" s="2052"/>
      <c r="AF244" s="2053">
        <v>0</v>
      </c>
    </row>
    <row r="245" spans="1:32" ht="258.75">
      <c r="A245" s="2041"/>
      <c r="B245" s="2042"/>
      <c r="C245" s="2043"/>
      <c r="D245" s="2044" t="s">
        <v>568</v>
      </c>
      <c r="E245" s="2045" t="str">
        <f>E206&amp;".38"</f>
        <v>15.38</v>
      </c>
      <c r="F245" s="2046" t="s">
        <v>632</v>
      </c>
      <c r="G245" s="2047" t="s">
        <v>559</v>
      </c>
      <c r="H245" s="2048"/>
      <c r="I245" s="2048">
        <v>154.80000000000001</v>
      </c>
      <c r="J245" s="2049" t="s">
        <v>560</v>
      </c>
      <c r="K245" s="2050"/>
      <c r="L245" s="2043"/>
      <c r="M245" s="2043"/>
      <c r="N245" s="2042"/>
      <c r="O245" s="2042"/>
      <c r="P245" s="2042"/>
      <c r="Q245" s="2042"/>
      <c r="R245" s="2043"/>
      <c r="S245" s="2042"/>
      <c r="T245" s="2042"/>
      <c r="U245" s="2051"/>
      <c r="V245" s="2042"/>
      <c r="W245" s="2042"/>
      <c r="X245" s="2042"/>
      <c r="Y245" s="2042"/>
      <c r="Z245" s="2042"/>
      <c r="AA245" s="2052"/>
      <c r="AB245" s="2052"/>
      <c r="AC245" s="2052"/>
      <c r="AD245" s="2052"/>
      <c r="AE245" s="2052"/>
      <c r="AF245" s="2053">
        <v>0</v>
      </c>
    </row>
    <row r="246" spans="1:32" ht="258.75">
      <c r="A246" s="2041"/>
      <c r="B246" s="2042"/>
      <c r="C246" s="2043"/>
      <c r="D246" s="2044" t="s">
        <v>568</v>
      </c>
      <c r="E246" s="2045" t="str">
        <f>E206&amp;".39"</f>
        <v>15.39</v>
      </c>
      <c r="F246" s="2046" t="s">
        <v>633</v>
      </c>
      <c r="G246" s="2047" t="s">
        <v>559</v>
      </c>
      <c r="H246" s="2048"/>
      <c r="I246" s="2048">
        <v>157.9</v>
      </c>
      <c r="J246" s="2049" t="s">
        <v>560</v>
      </c>
      <c r="K246" s="2050"/>
      <c r="L246" s="2043"/>
      <c r="M246" s="2043"/>
      <c r="N246" s="2042"/>
      <c r="O246" s="2042"/>
      <c r="P246" s="2042"/>
      <c r="Q246" s="2042"/>
      <c r="R246" s="2043"/>
      <c r="S246" s="2042"/>
      <c r="T246" s="2042"/>
      <c r="U246" s="2051"/>
      <c r="V246" s="2042"/>
      <c r="W246" s="2042"/>
      <c r="X246" s="2042"/>
      <c r="Y246" s="2042"/>
      <c r="Z246" s="2042"/>
      <c r="AA246" s="2052"/>
      <c r="AB246" s="2052"/>
      <c r="AC246" s="2052"/>
      <c r="AD246" s="2052"/>
      <c r="AE246" s="2052"/>
      <c r="AF246" s="2053">
        <v>0</v>
      </c>
    </row>
    <row r="247" spans="1:32" ht="258.75">
      <c r="A247" s="2041"/>
      <c r="B247" s="2042"/>
      <c r="C247" s="2043"/>
      <c r="D247" s="2044" t="s">
        <v>568</v>
      </c>
      <c r="E247" s="2045" t="str">
        <f>E206&amp;".40"</f>
        <v>15.40</v>
      </c>
      <c r="F247" s="2046" t="s">
        <v>634</v>
      </c>
      <c r="G247" s="2047" t="s">
        <v>559</v>
      </c>
      <c r="H247" s="2048"/>
      <c r="I247" s="2048">
        <v>166.3</v>
      </c>
      <c r="J247" s="2049" t="s">
        <v>560</v>
      </c>
      <c r="K247" s="2050"/>
      <c r="L247" s="2043"/>
      <c r="M247" s="2043"/>
      <c r="N247" s="2042"/>
      <c r="O247" s="2042"/>
      <c r="P247" s="2042"/>
      <c r="Q247" s="2042"/>
      <c r="R247" s="2043"/>
      <c r="S247" s="2042"/>
      <c r="T247" s="2042"/>
      <c r="U247" s="2051"/>
      <c r="V247" s="2042"/>
      <c r="W247" s="2042"/>
      <c r="X247" s="2042"/>
      <c r="Y247" s="2042"/>
      <c r="Z247" s="2042"/>
      <c r="AA247" s="2052"/>
      <c r="AB247" s="2052"/>
      <c r="AC247" s="2052"/>
      <c r="AD247" s="2052"/>
      <c r="AE247" s="2052"/>
      <c r="AF247" s="2053">
        <v>0</v>
      </c>
    </row>
    <row r="248" spans="1:32" ht="258.75">
      <c r="A248" s="2041"/>
      <c r="B248" s="2042"/>
      <c r="C248" s="2043"/>
      <c r="D248" s="2044" t="s">
        <v>568</v>
      </c>
      <c r="E248" s="2045" t="str">
        <f>E206&amp;".41"</f>
        <v>15.41</v>
      </c>
      <c r="F248" s="2046" t="s">
        <v>635</v>
      </c>
      <c r="G248" s="2047" t="s">
        <v>559</v>
      </c>
      <c r="H248" s="2048"/>
      <c r="I248" s="2048">
        <v>156.1</v>
      </c>
      <c r="J248" s="2049" t="s">
        <v>560</v>
      </c>
      <c r="K248" s="2050"/>
      <c r="L248" s="2043"/>
      <c r="M248" s="2043"/>
      <c r="N248" s="2042"/>
      <c r="O248" s="2042"/>
      <c r="P248" s="2042"/>
      <c r="Q248" s="2042"/>
      <c r="R248" s="2043"/>
      <c r="S248" s="2042"/>
      <c r="T248" s="2042"/>
      <c r="U248" s="2051"/>
      <c r="V248" s="2042"/>
      <c r="W248" s="2042"/>
      <c r="X248" s="2042"/>
      <c r="Y248" s="2042"/>
      <c r="Z248" s="2042"/>
      <c r="AA248" s="2052"/>
      <c r="AB248" s="2052"/>
      <c r="AC248" s="2052"/>
      <c r="AD248" s="2052"/>
      <c r="AE248" s="2052"/>
      <c r="AF248" s="2053">
        <v>0</v>
      </c>
    </row>
    <row r="249" spans="1:32" ht="258.75">
      <c r="A249" s="2041"/>
      <c r="B249" s="2042"/>
      <c r="C249" s="2043"/>
      <c r="D249" s="2044" t="s">
        <v>568</v>
      </c>
      <c r="E249" s="2045" t="str">
        <f>E206&amp;".42"</f>
        <v>15.42</v>
      </c>
      <c r="F249" s="2046" t="s">
        <v>636</v>
      </c>
      <c r="G249" s="2047" t="s">
        <v>559</v>
      </c>
      <c r="H249" s="2048"/>
      <c r="I249" s="2048">
        <v>173</v>
      </c>
      <c r="J249" s="2049" t="s">
        <v>560</v>
      </c>
      <c r="K249" s="2050"/>
      <c r="L249" s="2043"/>
      <c r="M249" s="2043"/>
      <c r="N249" s="2042"/>
      <c r="O249" s="2042"/>
      <c r="P249" s="2042"/>
      <c r="Q249" s="2042"/>
      <c r="R249" s="2043"/>
      <c r="S249" s="2042"/>
      <c r="T249" s="2042"/>
      <c r="U249" s="2051"/>
      <c r="V249" s="2042"/>
      <c r="W249" s="2042"/>
      <c r="X249" s="2042"/>
      <c r="Y249" s="2042"/>
      <c r="Z249" s="2042"/>
      <c r="AA249" s="2052"/>
      <c r="AB249" s="2052"/>
      <c r="AC249" s="2052"/>
      <c r="AD249" s="2052"/>
      <c r="AE249" s="2052"/>
      <c r="AF249" s="2053">
        <v>0</v>
      </c>
    </row>
    <row r="250" spans="1:32" ht="258.75">
      <c r="A250" s="2041"/>
      <c r="B250" s="2042"/>
      <c r="C250" s="2043"/>
      <c r="D250" s="2044" t="s">
        <v>568</v>
      </c>
      <c r="E250" s="2045" t="str">
        <f>E206&amp;".43"</f>
        <v>15.43</v>
      </c>
      <c r="F250" s="2046" t="s">
        <v>637</v>
      </c>
      <c r="G250" s="2047" t="s">
        <v>559</v>
      </c>
      <c r="H250" s="2048"/>
      <c r="I250" s="2048">
        <v>162.30000000000001</v>
      </c>
      <c r="J250" s="2049" t="s">
        <v>560</v>
      </c>
      <c r="K250" s="2050"/>
      <c r="L250" s="2043"/>
      <c r="M250" s="2043"/>
      <c r="N250" s="2042"/>
      <c r="O250" s="2042"/>
      <c r="P250" s="2042"/>
      <c r="Q250" s="2042"/>
      <c r="R250" s="2043"/>
      <c r="S250" s="2042"/>
      <c r="T250" s="2042"/>
      <c r="U250" s="2051"/>
      <c r="V250" s="2042"/>
      <c r="W250" s="2042"/>
      <c r="X250" s="2042"/>
      <c r="Y250" s="2042"/>
      <c r="Z250" s="2042"/>
      <c r="AA250" s="2052"/>
      <c r="AB250" s="2052"/>
      <c r="AC250" s="2052"/>
      <c r="AD250" s="2052"/>
      <c r="AE250" s="2052"/>
      <c r="AF250" s="2053">
        <v>0</v>
      </c>
    </row>
    <row r="251" spans="1:32" ht="258.75">
      <c r="A251" s="2041"/>
      <c r="B251" s="2042"/>
      <c r="C251" s="2043"/>
      <c r="D251" s="2044" t="s">
        <v>568</v>
      </c>
      <c r="E251" s="2045" t="str">
        <f>E206&amp;".44"</f>
        <v>15.44</v>
      </c>
      <c r="F251" s="2046" t="s">
        <v>638</v>
      </c>
      <c r="G251" s="2047" t="s">
        <v>559</v>
      </c>
      <c r="H251" s="2048"/>
      <c r="I251" s="2048">
        <v>164.5</v>
      </c>
      <c r="J251" s="2049" t="s">
        <v>560</v>
      </c>
      <c r="K251" s="2050"/>
      <c r="L251" s="2043"/>
      <c r="M251" s="2043"/>
      <c r="N251" s="2042"/>
      <c r="O251" s="2042"/>
      <c r="P251" s="2042"/>
      <c r="Q251" s="2042"/>
      <c r="R251" s="2043"/>
      <c r="S251" s="2042"/>
      <c r="T251" s="2042"/>
      <c r="U251" s="2051"/>
      <c r="V251" s="2042"/>
      <c r="W251" s="2042"/>
      <c r="X251" s="2042"/>
      <c r="Y251" s="2042"/>
      <c r="Z251" s="2042"/>
      <c r="AA251" s="2052"/>
      <c r="AB251" s="2052"/>
      <c r="AC251" s="2052"/>
      <c r="AD251" s="2052"/>
      <c r="AE251" s="2052"/>
      <c r="AF251" s="2053">
        <v>0</v>
      </c>
    </row>
    <row r="252" spans="1:32" ht="258.75">
      <c r="A252" s="2041"/>
      <c r="B252" s="2042"/>
      <c r="C252" s="2043"/>
      <c r="D252" s="2044" t="s">
        <v>568</v>
      </c>
      <c r="E252" s="2045" t="str">
        <f>E206&amp;".45"</f>
        <v>15.45</v>
      </c>
      <c r="F252" s="2046" t="s">
        <v>639</v>
      </c>
      <c r="G252" s="2047" t="s">
        <v>559</v>
      </c>
      <c r="H252" s="2048"/>
      <c r="I252" s="2048">
        <v>158.69999999999999</v>
      </c>
      <c r="J252" s="2049" t="s">
        <v>560</v>
      </c>
      <c r="K252" s="2050"/>
      <c r="L252" s="2043"/>
      <c r="M252" s="2043"/>
      <c r="N252" s="2042"/>
      <c r="O252" s="2042"/>
      <c r="P252" s="2042"/>
      <c r="Q252" s="2042"/>
      <c r="R252" s="2043"/>
      <c r="S252" s="2042"/>
      <c r="T252" s="2042"/>
      <c r="U252" s="2051"/>
      <c r="V252" s="2042"/>
      <c r="W252" s="2042"/>
      <c r="X252" s="2042"/>
      <c r="Y252" s="2042"/>
      <c r="Z252" s="2042"/>
      <c r="AA252" s="2052"/>
      <c r="AB252" s="2052"/>
      <c r="AC252" s="2052"/>
      <c r="AD252" s="2052"/>
      <c r="AE252" s="2052"/>
      <c r="AF252" s="2053">
        <v>0</v>
      </c>
    </row>
    <row r="253" spans="1:32" ht="258.75">
      <c r="A253" s="2041"/>
      <c r="B253" s="2042"/>
      <c r="C253" s="2043"/>
      <c r="D253" s="2044" t="s">
        <v>568</v>
      </c>
      <c r="E253" s="2045" t="str">
        <f>E206&amp;".46"</f>
        <v>15.46</v>
      </c>
      <c r="F253" s="2046" t="s">
        <v>640</v>
      </c>
      <c r="G253" s="2047" t="s">
        <v>559</v>
      </c>
      <c r="H253" s="2048"/>
      <c r="I253" s="2048">
        <v>176.3</v>
      </c>
      <c r="J253" s="2049" t="s">
        <v>560</v>
      </c>
      <c r="K253" s="2050"/>
      <c r="L253" s="2043"/>
      <c r="M253" s="2043"/>
      <c r="N253" s="2042"/>
      <c r="O253" s="2042"/>
      <c r="P253" s="2042"/>
      <c r="Q253" s="2042"/>
      <c r="R253" s="2043"/>
      <c r="S253" s="2042"/>
      <c r="T253" s="2042"/>
      <c r="U253" s="2051"/>
      <c r="V253" s="2042"/>
      <c r="W253" s="2042"/>
      <c r="X253" s="2042"/>
      <c r="Y253" s="2042"/>
      <c r="Z253" s="2042"/>
      <c r="AA253" s="2052"/>
      <c r="AB253" s="2052"/>
      <c r="AC253" s="2052"/>
      <c r="AD253" s="2052"/>
      <c r="AE253" s="2052"/>
      <c r="AF253" s="2053">
        <v>0</v>
      </c>
    </row>
    <row r="254" spans="1:32" ht="258.75">
      <c r="A254" s="2041"/>
      <c r="B254" s="2042"/>
      <c r="C254" s="2043"/>
      <c r="D254" s="2044" t="s">
        <v>568</v>
      </c>
      <c r="E254" s="2045" t="str">
        <f>E206&amp;".47"</f>
        <v>15.47</v>
      </c>
      <c r="F254" s="2046" t="s">
        <v>641</v>
      </c>
      <c r="G254" s="2047" t="s">
        <v>559</v>
      </c>
      <c r="H254" s="2048"/>
      <c r="I254" s="2048">
        <v>158.19999999999999</v>
      </c>
      <c r="J254" s="2049" t="s">
        <v>560</v>
      </c>
      <c r="K254" s="2050"/>
      <c r="L254" s="2043"/>
      <c r="M254" s="2043"/>
      <c r="N254" s="2042"/>
      <c r="O254" s="2042"/>
      <c r="P254" s="2042"/>
      <c r="Q254" s="2042"/>
      <c r="R254" s="2043"/>
      <c r="S254" s="2042"/>
      <c r="T254" s="2042"/>
      <c r="U254" s="2051"/>
      <c r="V254" s="2042"/>
      <c r="W254" s="2042"/>
      <c r="X254" s="2042"/>
      <c r="Y254" s="2042"/>
      <c r="Z254" s="2042"/>
      <c r="AA254" s="2052"/>
      <c r="AB254" s="2052"/>
      <c r="AC254" s="2052"/>
      <c r="AD254" s="2052"/>
      <c r="AE254" s="2052"/>
      <c r="AF254" s="2053">
        <v>0</v>
      </c>
    </row>
    <row r="255" spans="1:32" ht="258.75">
      <c r="A255" s="2041"/>
      <c r="B255" s="2042"/>
      <c r="C255" s="2043"/>
      <c r="D255" s="2044" t="s">
        <v>568</v>
      </c>
      <c r="E255" s="2045" t="str">
        <f>E206&amp;".48"</f>
        <v>15.48</v>
      </c>
      <c r="F255" s="2046" t="s">
        <v>642</v>
      </c>
      <c r="G255" s="2047" t="s">
        <v>559</v>
      </c>
      <c r="H255" s="2048"/>
      <c r="I255" s="2048">
        <v>157.9</v>
      </c>
      <c r="J255" s="2049" t="s">
        <v>560</v>
      </c>
      <c r="K255" s="2050"/>
      <c r="L255" s="2043"/>
      <c r="M255" s="2043"/>
      <c r="N255" s="2042"/>
      <c r="O255" s="2042"/>
      <c r="P255" s="2042"/>
      <c r="Q255" s="2042"/>
      <c r="R255" s="2043"/>
      <c r="S255" s="2042"/>
      <c r="T255" s="2042"/>
      <c r="U255" s="2051"/>
      <c r="V255" s="2042"/>
      <c r="W255" s="2042"/>
      <c r="X255" s="2042"/>
      <c r="Y255" s="2042"/>
      <c r="Z255" s="2042"/>
      <c r="AA255" s="2052"/>
      <c r="AB255" s="2052"/>
      <c r="AC255" s="2052"/>
      <c r="AD255" s="2052"/>
      <c r="AE255" s="2052"/>
      <c r="AF255" s="2053">
        <v>0</v>
      </c>
    </row>
    <row r="256" spans="1:32" ht="258.75">
      <c r="A256" s="2041"/>
      <c r="B256" s="2042"/>
      <c r="C256" s="2043"/>
      <c r="D256" s="2044" t="s">
        <v>568</v>
      </c>
      <c r="E256" s="2045" t="str">
        <f>E206&amp;".49"</f>
        <v>15.49</v>
      </c>
      <c r="F256" s="2046" t="s">
        <v>643</v>
      </c>
      <c r="G256" s="2047" t="s">
        <v>559</v>
      </c>
      <c r="H256" s="2048"/>
      <c r="I256" s="2048">
        <v>167.9</v>
      </c>
      <c r="J256" s="2049" t="s">
        <v>560</v>
      </c>
      <c r="K256" s="2050"/>
      <c r="L256" s="2043"/>
      <c r="M256" s="2043"/>
      <c r="N256" s="2042"/>
      <c r="O256" s="2042"/>
      <c r="P256" s="2042"/>
      <c r="Q256" s="2042"/>
      <c r="R256" s="2043"/>
      <c r="S256" s="2042"/>
      <c r="T256" s="2042"/>
      <c r="U256" s="2051"/>
      <c r="V256" s="2042"/>
      <c r="W256" s="2042"/>
      <c r="X256" s="2042"/>
      <c r="Y256" s="2042"/>
      <c r="Z256" s="2042"/>
      <c r="AA256" s="2052"/>
      <c r="AB256" s="2052"/>
      <c r="AC256" s="2052"/>
      <c r="AD256" s="2052"/>
      <c r="AE256" s="2052"/>
      <c r="AF256" s="2053">
        <v>0</v>
      </c>
    </row>
    <row r="257" spans="1:32" ht="258.75">
      <c r="A257" s="2041"/>
      <c r="B257" s="2042"/>
      <c r="C257" s="2043"/>
      <c r="D257" s="2044" t="s">
        <v>568</v>
      </c>
      <c r="E257" s="2045" t="str">
        <f>E206&amp;".50"</f>
        <v>15.50</v>
      </c>
      <c r="F257" s="2046" t="s">
        <v>644</v>
      </c>
      <c r="G257" s="2047" t="s">
        <v>559</v>
      </c>
      <c r="H257" s="2048"/>
      <c r="I257" s="2048">
        <v>171.5</v>
      </c>
      <c r="J257" s="2049" t="s">
        <v>560</v>
      </c>
      <c r="K257" s="2050"/>
      <c r="L257" s="2043"/>
      <c r="M257" s="2043"/>
      <c r="N257" s="2042"/>
      <c r="O257" s="2042"/>
      <c r="P257" s="2042"/>
      <c r="Q257" s="2042"/>
      <c r="R257" s="2043"/>
      <c r="S257" s="2042"/>
      <c r="T257" s="2042"/>
      <c r="U257" s="2051"/>
      <c r="V257" s="2042"/>
      <c r="W257" s="2042"/>
      <c r="X257" s="2042"/>
      <c r="Y257" s="2042"/>
      <c r="Z257" s="2042"/>
      <c r="AA257" s="2052"/>
      <c r="AB257" s="2052"/>
      <c r="AC257" s="2052"/>
      <c r="AD257" s="2052"/>
      <c r="AE257" s="2052"/>
      <c r="AF257" s="2053">
        <v>0</v>
      </c>
    </row>
    <row r="258" spans="1:32" ht="258.75">
      <c r="A258" s="2041"/>
      <c r="B258" s="2042"/>
      <c r="C258" s="2043"/>
      <c r="D258" s="2044" t="s">
        <v>568</v>
      </c>
      <c r="E258" s="2045" t="str">
        <f>E206&amp;".51"</f>
        <v>15.51</v>
      </c>
      <c r="F258" s="2046" t="s">
        <v>645</v>
      </c>
      <c r="G258" s="2047" t="s">
        <v>559</v>
      </c>
      <c r="H258" s="2048"/>
      <c r="I258" s="2048">
        <v>167.6</v>
      </c>
      <c r="J258" s="2049" t="s">
        <v>560</v>
      </c>
      <c r="K258" s="2050"/>
      <c r="L258" s="2043"/>
      <c r="M258" s="2043"/>
      <c r="N258" s="2042"/>
      <c r="O258" s="2042"/>
      <c r="P258" s="2042"/>
      <c r="Q258" s="2042"/>
      <c r="R258" s="2043"/>
      <c r="S258" s="2042"/>
      <c r="T258" s="2042"/>
      <c r="U258" s="2051"/>
      <c r="V258" s="2042"/>
      <c r="W258" s="2042"/>
      <c r="X258" s="2042"/>
      <c r="Y258" s="2042"/>
      <c r="Z258" s="2042"/>
      <c r="AA258" s="2052"/>
      <c r="AB258" s="2052"/>
      <c r="AC258" s="2052"/>
      <c r="AD258" s="2052"/>
      <c r="AE258" s="2052"/>
      <c r="AF258" s="2053">
        <v>0</v>
      </c>
    </row>
    <row r="259" spans="1:32" ht="258.75">
      <c r="A259" s="2041"/>
      <c r="B259" s="2042"/>
      <c r="C259" s="2043"/>
      <c r="D259" s="2044" t="s">
        <v>568</v>
      </c>
      <c r="E259" s="2045" t="str">
        <f>E206&amp;".52"</f>
        <v>15.52</v>
      </c>
      <c r="F259" s="2046" t="s">
        <v>646</v>
      </c>
      <c r="G259" s="2047" t="s">
        <v>559</v>
      </c>
      <c r="H259" s="2048"/>
      <c r="I259" s="2048">
        <v>162.6</v>
      </c>
      <c r="J259" s="2049" t="s">
        <v>560</v>
      </c>
      <c r="K259" s="2050"/>
      <c r="L259" s="2043"/>
      <c r="M259" s="2043"/>
      <c r="N259" s="2042"/>
      <c r="O259" s="2042"/>
      <c r="P259" s="2042"/>
      <c r="Q259" s="2042"/>
      <c r="R259" s="2043"/>
      <c r="S259" s="2042"/>
      <c r="T259" s="2042"/>
      <c r="U259" s="2051"/>
      <c r="V259" s="2042"/>
      <c r="W259" s="2042"/>
      <c r="X259" s="2042"/>
      <c r="Y259" s="2042"/>
      <c r="Z259" s="2042"/>
      <c r="AA259" s="2052"/>
      <c r="AB259" s="2052"/>
      <c r="AC259" s="2052"/>
      <c r="AD259" s="2052"/>
      <c r="AE259" s="2052"/>
      <c r="AF259" s="2053">
        <v>0</v>
      </c>
    </row>
    <row r="260" spans="1:32" ht="258.75">
      <c r="A260" s="2041"/>
      <c r="B260" s="2042"/>
      <c r="C260" s="2043"/>
      <c r="D260" s="2044" t="s">
        <v>568</v>
      </c>
      <c r="E260" s="2045" t="str">
        <f>E206&amp;".53"</f>
        <v>15.53</v>
      </c>
      <c r="F260" s="2046" t="s">
        <v>647</v>
      </c>
      <c r="G260" s="2047" t="s">
        <v>559</v>
      </c>
      <c r="H260" s="2048"/>
      <c r="I260" s="2048">
        <v>180.7</v>
      </c>
      <c r="J260" s="2049" t="s">
        <v>560</v>
      </c>
      <c r="K260" s="2050"/>
      <c r="L260" s="2043"/>
      <c r="M260" s="2043"/>
      <c r="N260" s="2042"/>
      <c r="O260" s="2042"/>
      <c r="P260" s="2042"/>
      <c r="Q260" s="2042"/>
      <c r="R260" s="2043"/>
      <c r="S260" s="2042"/>
      <c r="T260" s="2042"/>
      <c r="U260" s="2051"/>
      <c r="V260" s="2042"/>
      <c r="W260" s="2042"/>
      <c r="X260" s="2042"/>
      <c r="Y260" s="2042"/>
      <c r="Z260" s="2042"/>
      <c r="AA260" s="2052"/>
      <c r="AB260" s="2052"/>
      <c r="AC260" s="2052"/>
      <c r="AD260" s="2052"/>
      <c r="AE260" s="2052"/>
      <c r="AF260" s="2053">
        <v>0</v>
      </c>
    </row>
    <row r="261" spans="1:32" ht="258.75">
      <c r="A261" s="2041"/>
      <c r="B261" s="2042"/>
      <c r="C261" s="2043"/>
      <c r="D261" s="2044" t="s">
        <v>568</v>
      </c>
      <c r="E261" s="2045" t="str">
        <f>E206&amp;".54"</f>
        <v>15.54</v>
      </c>
      <c r="F261" s="2046" t="s">
        <v>648</v>
      </c>
      <c r="G261" s="2047" t="s">
        <v>559</v>
      </c>
      <c r="H261" s="2048"/>
      <c r="I261" s="2048">
        <v>155.9</v>
      </c>
      <c r="J261" s="2049" t="s">
        <v>560</v>
      </c>
      <c r="K261" s="2050"/>
      <c r="L261" s="2043"/>
      <c r="M261" s="2043"/>
      <c r="N261" s="2042"/>
      <c r="O261" s="2042"/>
      <c r="P261" s="2042"/>
      <c r="Q261" s="2042"/>
      <c r="R261" s="2043"/>
      <c r="S261" s="2042"/>
      <c r="T261" s="2042"/>
      <c r="U261" s="2051"/>
      <c r="V261" s="2042"/>
      <c r="W261" s="2042"/>
      <c r="X261" s="2042"/>
      <c r="Y261" s="2042"/>
      <c r="Z261" s="2042"/>
      <c r="AA261" s="2052"/>
      <c r="AB261" s="2052"/>
      <c r="AC261" s="2052"/>
      <c r="AD261" s="2052"/>
      <c r="AE261" s="2052"/>
      <c r="AF261" s="2053">
        <v>0</v>
      </c>
    </row>
    <row r="262" spans="1:32" ht="258.75">
      <c r="A262" s="2041"/>
      <c r="B262" s="2042"/>
      <c r="C262" s="2043"/>
      <c r="D262" s="2044" t="s">
        <v>568</v>
      </c>
      <c r="E262" s="2045" t="str">
        <f>E206&amp;".55"</f>
        <v>15.55</v>
      </c>
      <c r="F262" s="2046" t="s">
        <v>649</v>
      </c>
      <c r="G262" s="2047" t="s">
        <v>559</v>
      </c>
      <c r="H262" s="2048"/>
      <c r="I262" s="2048">
        <v>179.6</v>
      </c>
      <c r="J262" s="2049" t="s">
        <v>560</v>
      </c>
      <c r="K262" s="2050"/>
      <c r="L262" s="2043"/>
      <c r="M262" s="2043"/>
      <c r="N262" s="2042"/>
      <c r="O262" s="2042"/>
      <c r="P262" s="2042"/>
      <c r="Q262" s="2042"/>
      <c r="R262" s="2043"/>
      <c r="S262" s="2042"/>
      <c r="T262" s="2042"/>
      <c r="U262" s="2051"/>
      <c r="V262" s="2042"/>
      <c r="W262" s="2042"/>
      <c r="X262" s="2042"/>
      <c r="Y262" s="2042"/>
      <c r="Z262" s="2042"/>
      <c r="AA262" s="2052"/>
      <c r="AB262" s="2052"/>
      <c r="AC262" s="2052"/>
      <c r="AD262" s="2052"/>
      <c r="AE262" s="2052"/>
      <c r="AF262" s="2053">
        <v>0</v>
      </c>
    </row>
    <row r="263" spans="1:32" ht="258.75">
      <c r="A263" s="2041"/>
      <c r="B263" s="2042"/>
      <c r="C263" s="2043"/>
      <c r="D263" s="2044" t="s">
        <v>568</v>
      </c>
      <c r="E263" s="2045" t="str">
        <f>E206&amp;".56"</f>
        <v>15.56</v>
      </c>
      <c r="F263" s="2046" t="s">
        <v>650</v>
      </c>
      <c r="G263" s="2047" t="s">
        <v>559</v>
      </c>
      <c r="H263" s="2048"/>
      <c r="I263" s="2048">
        <v>164.6</v>
      </c>
      <c r="J263" s="2049" t="s">
        <v>560</v>
      </c>
      <c r="K263" s="2050"/>
      <c r="L263" s="2043"/>
      <c r="M263" s="2043"/>
      <c r="N263" s="2042"/>
      <c r="O263" s="2042"/>
      <c r="P263" s="2042"/>
      <c r="Q263" s="2042"/>
      <c r="R263" s="2043"/>
      <c r="S263" s="2042"/>
      <c r="T263" s="2042"/>
      <c r="U263" s="2051"/>
      <c r="V263" s="2042"/>
      <c r="W263" s="2042"/>
      <c r="X263" s="2042"/>
      <c r="Y263" s="2042"/>
      <c r="Z263" s="2042"/>
      <c r="AA263" s="2052"/>
      <c r="AB263" s="2052"/>
      <c r="AC263" s="2052"/>
      <c r="AD263" s="2052"/>
      <c r="AE263" s="2052"/>
      <c r="AF263" s="2053">
        <v>0</v>
      </c>
    </row>
    <row r="264" spans="1:32" ht="258.75">
      <c r="A264" s="2041"/>
      <c r="B264" s="2042"/>
      <c r="C264" s="2043"/>
      <c r="D264" s="2044" t="s">
        <v>568</v>
      </c>
      <c r="E264" s="2045" t="str">
        <f>E206&amp;".57"</f>
        <v>15.57</v>
      </c>
      <c r="F264" s="2046" t="s">
        <v>651</v>
      </c>
      <c r="G264" s="2047" t="s">
        <v>559</v>
      </c>
      <c r="H264" s="2048"/>
      <c r="I264" s="2048">
        <v>157.30000000000001</v>
      </c>
      <c r="J264" s="2049" t="s">
        <v>560</v>
      </c>
      <c r="K264" s="2050"/>
      <c r="L264" s="2043"/>
      <c r="M264" s="2043"/>
      <c r="N264" s="2042"/>
      <c r="O264" s="2042"/>
      <c r="P264" s="2042"/>
      <c r="Q264" s="2042"/>
      <c r="R264" s="2043"/>
      <c r="S264" s="2042"/>
      <c r="T264" s="2042"/>
      <c r="U264" s="2051"/>
      <c r="V264" s="2042"/>
      <c r="W264" s="2042"/>
      <c r="X264" s="2042"/>
      <c r="Y264" s="2042"/>
      <c r="Z264" s="2042"/>
      <c r="AA264" s="2052"/>
      <c r="AB264" s="2052"/>
      <c r="AC264" s="2052"/>
      <c r="AD264" s="2052"/>
      <c r="AE264" s="2052"/>
      <c r="AF264" s="2053">
        <v>0</v>
      </c>
    </row>
    <row r="265" spans="1:32" ht="258.75">
      <c r="A265" s="2041"/>
      <c r="B265" s="2042"/>
      <c r="C265" s="2043"/>
      <c r="D265" s="2044" t="s">
        <v>568</v>
      </c>
      <c r="E265" s="2045" t="str">
        <f>E206&amp;".58"</f>
        <v>15.58</v>
      </c>
      <c r="F265" s="2046" t="s">
        <v>652</v>
      </c>
      <c r="G265" s="2047" t="s">
        <v>559</v>
      </c>
      <c r="H265" s="2048"/>
      <c r="I265" s="2048">
        <v>154.4</v>
      </c>
      <c r="J265" s="2049" t="s">
        <v>560</v>
      </c>
      <c r="K265" s="2050"/>
      <c r="L265" s="2043"/>
      <c r="M265" s="2043"/>
      <c r="N265" s="2042"/>
      <c r="O265" s="2042"/>
      <c r="P265" s="2042"/>
      <c r="Q265" s="2042"/>
      <c r="R265" s="2043"/>
      <c r="S265" s="2042"/>
      <c r="T265" s="2042"/>
      <c r="U265" s="2051"/>
      <c r="V265" s="2042"/>
      <c r="W265" s="2042"/>
      <c r="X265" s="2042"/>
      <c r="Y265" s="2042"/>
      <c r="Z265" s="2042"/>
      <c r="AA265" s="2052"/>
      <c r="AB265" s="2052"/>
      <c r="AC265" s="2052"/>
      <c r="AD265" s="2052"/>
      <c r="AE265" s="2052"/>
      <c r="AF265" s="2053">
        <v>0</v>
      </c>
    </row>
    <row r="266" spans="1:32" ht="258.75">
      <c r="A266" s="2041"/>
      <c r="B266" s="2042"/>
      <c r="C266" s="2043"/>
      <c r="D266" s="2044" t="s">
        <v>568</v>
      </c>
      <c r="E266" s="2045" t="str">
        <f>E206&amp;".59"</f>
        <v>15.59</v>
      </c>
      <c r="F266" s="2046" t="s">
        <v>653</v>
      </c>
      <c r="G266" s="2047" t="s">
        <v>559</v>
      </c>
      <c r="H266" s="2048"/>
      <c r="I266" s="2048">
        <v>164.3</v>
      </c>
      <c r="J266" s="2049" t="s">
        <v>560</v>
      </c>
      <c r="K266" s="2050"/>
      <c r="L266" s="2043"/>
      <c r="M266" s="2043"/>
      <c r="N266" s="2042"/>
      <c r="O266" s="2042"/>
      <c r="P266" s="2042"/>
      <c r="Q266" s="2042"/>
      <c r="R266" s="2043"/>
      <c r="S266" s="2042"/>
      <c r="T266" s="2042"/>
      <c r="U266" s="2051"/>
      <c r="V266" s="2042"/>
      <c r="W266" s="2042"/>
      <c r="X266" s="2042"/>
      <c r="Y266" s="2042"/>
      <c r="Z266" s="2042"/>
      <c r="AA266" s="2052"/>
      <c r="AB266" s="2052"/>
      <c r="AC266" s="2052"/>
      <c r="AD266" s="2052"/>
      <c r="AE266" s="2052"/>
      <c r="AF266" s="2053">
        <v>0</v>
      </c>
    </row>
    <row r="267" spans="1:32" ht="258.75">
      <c r="A267" s="2041"/>
      <c r="B267" s="2042"/>
      <c r="C267" s="2043"/>
      <c r="D267" s="2044" t="s">
        <v>568</v>
      </c>
      <c r="E267" s="2045" t="str">
        <f>E206&amp;".60"</f>
        <v>15.60</v>
      </c>
      <c r="F267" s="2046" t="s">
        <v>654</v>
      </c>
      <c r="G267" s="2047" t="s">
        <v>559</v>
      </c>
      <c r="H267" s="2048"/>
      <c r="I267" s="2048">
        <v>165.8</v>
      </c>
      <c r="J267" s="2049" t="s">
        <v>560</v>
      </c>
      <c r="K267" s="2050"/>
      <c r="L267" s="2043"/>
      <c r="M267" s="2043"/>
      <c r="N267" s="2042"/>
      <c r="O267" s="2042"/>
      <c r="P267" s="2042"/>
      <c r="Q267" s="2042"/>
      <c r="R267" s="2043"/>
      <c r="S267" s="2042"/>
      <c r="T267" s="2042"/>
      <c r="U267" s="2051"/>
      <c r="V267" s="2042"/>
      <c r="W267" s="2042"/>
      <c r="X267" s="2042"/>
      <c r="Y267" s="2042"/>
      <c r="Z267" s="2042"/>
      <c r="AA267" s="2052"/>
      <c r="AB267" s="2052"/>
      <c r="AC267" s="2052"/>
      <c r="AD267" s="2052"/>
      <c r="AE267" s="2052"/>
      <c r="AF267" s="2053">
        <v>0</v>
      </c>
    </row>
    <row r="268" spans="1:32" ht="258.75">
      <c r="A268" s="2041"/>
      <c r="B268" s="2042"/>
      <c r="C268" s="2043"/>
      <c r="D268" s="2044" t="s">
        <v>568</v>
      </c>
      <c r="E268" s="2045" t="str">
        <f>E206&amp;".61"</f>
        <v>15.61</v>
      </c>
      <c r="F268" s="2046" t="s">
        <v>655</v>
      </c>
      <c r="G268" s="2047" t="s">
        <v>559</v>
      </c>
      <c r="H268" s="2048"/>
      <c r="I268" s="2048">
        <v>166.1</v>
      </c>
      <c r="J268" s="2049" t="s">
        <v>560</v>
      </c>
      <c r="K268" s="2050"/>
      <c r="L268" s="2043"/>
      <c r="M268" s="2043"/>
      <c r="N268" s="2042"/>
      <c r="O268" s="2042"/>
      <c r="P268" s="2042"/>
      <c r="Q268" s="2042"/>
      <c r="R268" s="2043"/>
      <c r="S268" s="2042"/>
      <c r="T268" s="2042"/>
      <c r="U268" s="2051"/>
      <c r="V268" s="2042"/>
      <c r="W268" s="2042"/>
      <c r="X268" s="2042"/>
      <c r="Y268" s="2042"/>
      <c r="Z268" s="2042"/>
      <c r="AA268" s="2052"/>
      <c r="AB268" s="2052"/>
      <c r="AC268" s="2052"/>
      <c r="AD268" s="2052"/>
      <c r="AE268" s="2052"/>
      <c r="AF268" s="2053">
        <v>0</v>
      </c>
    </row>
    <row r="269" spans="1:32" ht="258.75">
      <c r="A269" s="2041"/>
      <c r="B269" s="2042"/>
      <c r="C269" s="2043"/>
      <c r="D269" s="2044" t="s">
        <v>568</v>
      </c>
      <c r="E269" s="2045" t="str">
        <f>E206&amp;".62"</f>
        <v>15.62</v>
      </c>
      <c r="F269" s="2046" t="s">
        <v>656</v>
      </c>
      <c r="G269" s="2047" t="s">
        <v>559</v>
      </c>
      <c r="H269" s="2048"/>
      <c r="I269" s="2048">
        <v>178.3</v>
      </c>
      <c r="J269" s="2049" t="s">
        <v>560</v>
      </c>
      <c r="K269" s="2050"/>
      <c r="L269" s="2043"/>
      <c r="M269" s="2043"/>
      <c r="N269" s="2042"/>
      <c r="O269" s="2042"/>
      <c r="P269" s="2042"/>
      <c r="Q269" s="2042"/>
      <c r="R269" s="2043"/>
      <c r="S269" s="2042"/>
      <c r="T269" s="2042"/>
      <c r="U269" s="2051"/>
      <c r="V269" s="2042"/>
      <c r="W269" s="2042"/>
      <c r="X269" s="2042"/>
      <c r="Y269" s="2042"/>
      <c r="Z269" s="2042"/>
      <c r="AA269" s="2052"/>
      <c r="AB269" s="2052"/>
      <c r="AC269" s="2052"/>
      <c r="AD269" s="2052"/>
      <c r="AE269" s="2052"/>
      <c r="AF269" s="2053">
        <v>0</v>
      </c>
    </row>
    <row r="270" spans="1:32" ht="258.75">
      <c r="A270" s="2041"/>
      <c r="B270" s="2042"/>
      <c r="C270" s="2043"/>
      <c r="D270" s="2044" t="s">
        <v>568</v>
      </c>
      <c r="E270" s="2045" t="str">
        <f>E206&amp;".63"</f>
        <v>15.63</v>
      </c>
      <c r="F270" s="2046" t="s">
        <v>657</v>
      </c>
      <c r="G270" s="2047" t="s">
        <v>559</v>
      </c>
      <c r="H270" s="2048"/>
      <c r="I270" s="2048">
        <v>161.6</v>
      </c>
      <c r="J270" s="2049" t="s">
        <v>560</v>
      </c>
      <c r="K270" s="2050"/>
      <c r="L270" s="2043"/>
      <c r="M270" s="2043"/>
      <c r="N270" s="2042"/>
      <c r="O270" s="2042"/>
      <c r="P270" s="2042"/>
      <c r="Q270" s="2042"/>
      <c r="R270" s="2043"/>
      <c r="S270" s="2042"/>
      <c r="T270" s="2042"/>
      <c r="U270" s="2051"/>
      <c r="V270" s="2042"/>
      <c r="W270" s="2042"/>
      <c r="X270" s="2042"/>
      <c r="Y270" s="2042"/>
      <c r="Z270" s="2042"/>
      <c r="AA270" s="2052"/>
      <c r="AB270" s="2052"/>
      <c r="AC270" s="2052"/>
      <c r="AD270" s="2052"/>
      <c r="AE270" s="2052"/>
      <c r="AF270" s="2053">
        <v>0</v>
      </c>
    </row>
    <row r="271" spans="1:32" ht="258.75">
      <c r="A271" s="2041"/>
      <c r="B271" s="2042"/>
      <c r="C271" s="2043"/>
      <c r="D271" s="2044" t="s">
        <v>568</v>
      </c>
      <c r="E271" s="2045" t="str">
        <f>E206&amp;".64"</f>
        <v>15.64</v>
      </c>
      <c r="F271" s="2046" t="s">
        <v>658</v>
      </c>
      <c r="G271" s="2047" t="s">
        <v>559</v>
      </c>
      <c r="H271" s="2048"/>
      <c r="I271" s="2048">
        <v>167.2</v>
      </c>
      <c r="J271" s="2049" t="s">
        <v>560</v>
      </c>
      <c r="K271" s="2050"/>
      <c r="L271" s="2043"/>
      <c r="M271" s="2043"/>
      <c r="N271" s="2042"/>
      <c r="O271" s="2042"/>
      <c r="P271" s="2042"/>
      <c r="Q271" s="2042"/>
      <c r="R271" s="2043"/>
      <c r="S271" s="2042"/>
      <c r="T271" s="2042"/>
      <c r="U271" s="2051"/>
      <c r="V271" s="2042"/>
      <c r="W271" s="2042"/>
      <c r="X271" s="2042"/>
      <c r="Y271" s="2042"/>
      <c r="Z271" s="2042"/>
      <c r="AA271" s="2052"/>
      <c r="AB271" s="2052"/>
      <c r="AC271" s="2052"/>
      <c r="AD271" s="2052"/>
      <c r="AE271" s="2052"/>
      <c r="AF271" s="2053">
        <v>0</v>
      </c>
    </row>
    <row r="272" spans="1:32" ht="258.75">
      <c r="A272" s="2041"/>
      <c r="B272" s="2042"/>
      <c r="C272" s="2043"/>
      <c r="D272" s="2044" t="s">
        <v>568</v>
      </c>
      <c r="E272" s="2045" t="str">
        <f>E206&amp;".65"</f>
        <v>15.65</v>
      </c>
      <c r="F272" s="2046" t="s">
        <v>659</v>
      </c>
      <c r="G272" s="2047" t="s">
        <v>559</v>
      </c>
      <c r="H272" s="2048"/>
      <c r="I272" s="2048">
        <v>149.1</v>
      </c>
      <c r="J272" s="2049" t="s">
        <v>560</v>
      </c>
      <c r="K272" s="2050"/>
      <c r="L272" s="2043"/>
      <c r="M272" s="2043"/>
      <c r="N272" s="2042"/>
      <c r="O272" s="2042"/>
      <c r="P272" s="2042"/>
      <c r="Q272" s="2042"/>
      <c r="R272" s="2043"/>
      <c r="S272" s="2042"/>
      <c r="T272" s="2042"/>
      <c r="U272" s="2051"/>
      <c r="V272" s="2042"/>
      <c r="W272" s="2042"/>
      <c r="X272" s="2042"/>
      <c r="Y272" s="2042"/>
      <c r="Z272" s="2042"/>
      <c r="AA272" s="2052"/>
      <c r="AB272" s="2052"/>
      <c r="AC272" s="2052"/>
      <c r="AD272" s="2052"/>
      <c r="AE272" s="2052"/>
      <c r="AF272" s="2053">
        <v>0</v>
      </c>
    </row>
    <row r="273" spans="1:32" ht="258.75">
      <c r="A273" s="2041"/>
      <c r="B273" s="2042"/>
      <c r="C273" s="2043"/>
      <c r="D273" s="2044" t="s">
        <v>568</v>
      </c>
      <c r="E273" s="2045" t="str">
        <f>E206&amp;".66"</f>
        <v>15.66</v>
      </c>
      <c r="F273" s="2046" t="s">
        <v>660</v>
      </c>
      <c r="G273" s="2047" t="s">
        <v>559</v>
      </c>
      <c r="H273" s="2048"/>
      <c r="I273" s="2048">
        <v>156.4</v>
      </c>
      <c r="J273" s="2049" t="s">
        <v>560</v>
      </c>
      <c r="K273" s="2050"/>
      <c r="L273" s="2043"/>
      <c r="M273" s="2043"/>
      <c r="N273" s="2042"/>
      <c r="O273" s="2042"/>
      <c r="P273" s="2042"/>
      <c r="Q273" s="2042"/>
      <c r="R273" s="2043"/>
      <c r="S273" s="2042"/>
      <c r="T273" s="2042"/>
      <c r="U273" s="2051"/>
      <c r="V273" s="2042"/>
      <c r="W273" s="2042"/>
      <c r="X273" s="2042"/>
      <c r="Y273" s="2042"/>
      <c r="Z273" s="2042"/>
      <c r="AA273" s="2052"/>
      <c r="AB273" s="2052"/>
      <c r="AC273" s="2052"/>
      <c r="AD273" s="2052"/>
      <c r="AE273" s="2052"/>
      <c r="AF273" s="2053">
        <v>0</v>
      </c>
    </row>
    <row r="274" spans="1:32" ht="258.75">
      <c r="A274" s="2041"/>
      <c r="B274" s="2042"/>
      <c r="C274" s="2043"/>
      <c r="D274" s="2044" t="s">
        <v>568</v>
      </c>
      <c r="E274" s="2045" t="str">
        <f>E206&amp;".67"</f>
        <v>15.67</v>
      </c>
      <c r="F274" s="2046" t="s">
        <v>661</v>
      </c>
      <c r="G274" s="2047" t="s">
        <v>559</v>
      </c>
      <c r="H274" s="2048"/>
      <c r="I274" s="2048">
        <v>148.6</v>
      </c>
      <c r="J274" s="2049" t="s">
        <v>560</v>
      </c>
      <c r="K274" s="2050"/>
      <c r="L274" s="2043"/>
      <c r="M274" s="2043"/>
      <c r="N274" s="2042"/>
      <c r="O274" s="2042"/>
      <c r="P274" s="2042"/>
      <c r="Q274" s="2042"/>
      <c r="R274" s="2043"/>
      <c r="S274" s="2042"/>
      <c r="T274" s="2042"/>
      <c r="U274" s="2051"/>
      <c r="V274" s="2042"/>
      <c r="W274" s="2042"/>
      <c r="X274" s="2042"/>
      <c r="Y274" s="2042"/>
      <c r="Z274" s="2042"/>
      <c r="AA274" s="2052"/>
      <c r="AB274" s="2052"/>
      <c r="AC274" s="2052"/>
      <c r="AD274" s="2052"/>
      <c r="AE274" s="2052"/>
      <c r="AF274" s="2053">
        <v>0</v>
      </c>
    </row>
    <row r="275" spans="1:32" ht="258.75">
      <c r="A275" s="2041"/>
      <c r="B275" s="2042"/>
      <c r="C275" s="2043"/>
      <c r="D275" s="2044" t="s">
        <v>568</v>
      </c>
      <c r="E275" s="2045" t="str">
        <f>E206&amp;".68"</f>
        <v>15.68</v>
      </c>
      <c r="F275" s="2046" t="s">
        <v>662</v>
      </c>
      <c r="G275" s="2047" t="s">
        <v>559</v>
      </c>
      <c r="H275" s="2048"/>
      <c r="I275" s="2048">
        <v>179.8</v>
      </c>
      <c r="J275" s="2049" t="s">
        <v>560</v>
      </c>
      <c r="K275" s="2050"/>
      <c r="L275" s="2043"/>
      <c r="M275" s="2043"/>
      <c r="N275" s="2042"/>
      <c r="O275" s="2042"/>
      <c r="P275" s="2042"/>
      <c r="Q275" s="2042"/>
      <c r="R275" s="2043"/>
      <c r="S275" s="2042"/>
      <c r="T275" s="2042"/>
      <c r="U275" s="2051"/>
      <c r="V275" s="2042"/>
      <c r="W275" s="2042"/>
      <c r="X275" s="2042"/>
      <c r="Y275" s="2042"/>
      <c r="Z275" s="2042"/>
      <c r="AA275" s="2052"/>
      <c r="AB275" s="2052"/>
      <c r="AC275" s="2052"/>
      <c r="AD275" s="2052"/>
      <c r="AE275" s="2052"/>
      <c r="AF275" s="2053">
        <v>0</v>
      </c>
    </row>
    <row r="276" spans="1:32" ht="258.75">
      <c r="A276" s="2041"/>
      <c r="B276" s="2042"/>
      <c r="C276" s="2043"/>
      <c r="D276" s="2044" t="s">
        <v>568</v>
      </c>
      <c r="E276" s="2045" t="str">
        <f>E206&amp;".69"</f>
        <v>15.69</v>
      </c>
      <c r="F276" s="2046" t="s">
        <v>663</v>
      </c>
      <c r="G276" s="2047" t="s">
        <v>559</v>
      </c>
      <c r="H276" s="2048"/>
      <c r="I276" s="2048">
        <v>148.80000000000001</v>
      </c>
      <c r="J276" s="2049" t="s">
        <v>560</v>
      </c>
      <c r="K276" s="2050"/>
      <c r="L276" s="2043"/>
      <c r="M276" s="2043"/>
      <c r="N276" s="2042"/>
      <c r="O276" s="2042"/>
      <c r="P276" s="2042"/>
      <c r="Q276" s="2042"/>
      <c r="R276" s="2043"/>
      <c r="S276" s="2042"/>
      <c r="T276" s="2042"/>
      <c r="U276" s="2051"/>
      <c r="V276" s="2042"/>
      <c r="W276" s="2042"/>
      <c r="X276" s="2042"/>
      <c r="Y276" s="2042"/>
      <c r="Z276" s="2042"/>
      <c r="AA276" s="2052"/>
      <c r="AB276" s="2052"/>
      <c r="AC276" s="2052"/>
      <c r="AD276" s="2052"/>
      <c r="AE276" s="2052"/>
      <c r="AF276" s="2053">
        <v>0</v>
      </c>
    </row>
    <row r="277" spans="1:32" ht="258.75">
      <c r="A277" s="2041"/>
      <c r="B277" s="2042"/>
      <c r="C277" s="2043"/>
      <c r="D277" s="2044" t="s">
        <v>568</v>
      </c>
      <c r="E277" s="2045" t="str">
        <f>E206&amp;".70"</f>
        <v>15.70</v>
      </c>
      <c r="F277" s="2046" t="s">
        <v>664</v>
      </c>
      <c r="G277" s="2047" t="s">
        <v>559</v>
      </c>
      <c r="H277" s="2048"/>
      <c r="I277" s="2048">
        <v>166.7</v>
      </c>
      <c r="J277" s="2049" t="s">
        <v>560</v>
      </c>
      <c r="K277" s="2050"/>
      <c r="L277" s="2043"/>
      <c r="M277" s="2043"/>
      <c r="N277" s="2042"/>
      <c r="O277" s="2042"/>
      <c r="P277" s="2042"/>
      <c r="Q277" s="2042"/>
      <c r="R277" s="2043"/>
      <c r="S277" s="2042"/>
      <c r="T277" s="2042"/>
      <c r="U277" s="2051"/>
      <c r="V277" s="2042"/>
      <c r="W277" s="2042"/>
      <c r="X277" s="2042"/>
      <c r="Y277" s="2042"/>
      <c r="Z277" s="2042"/>
      <c r="AA277" s="2052"/>
      <c r="AB277" s="2052"/>
      <c r="AC277" s="2052"/>
      <c r="AD277" s="2052"/>
      <c r="AE277" s="2052"/>
      <c r="AF277" s="2053">
        <v>0</v>
      </c>
    </row>
    <row r="278" spans="1:32" ht="258.75">
      <c r="A278" s="2041"/>
      <c r="B278" s="2042"/>
      <c r="C278" s="2043"/>
      <c r="D278" s="2044" t="s">
        <v>568</v>
      </c>
      <c r="E278" s="2045" t="str">
        <f>E206&amp;".71"</f>
        <v>15.71</v>
      </c>
      <c r="F278" s="2046" t="s">
        <v>665</v>
      </c>
      <c r="G278" s="2047" t="s">
        <v>559</v>
      </c>
      <c r="H278" s="2048"/>
      <c r="I278" s="2048">
        <v>157.47</v>
      </c>
      <c r="J278" s="2049" t="s">
        <v>560</v>
      </c>
      <c r="K278" s="2050"/>
      <c r="L278" s="2043"/>
      <c r="M278" s="2043"/>
      <c r="N278" s="2042"/>
      <c r="O278" s="2042"/>
      <c r="P278" s="2042"/>
      <c r="Q278" s="2042"/>
      <c r="R278" s="2043"/>
      <c r="S278" s="2042"/>
      <c r="T278" s="2042"/>
      <c r="U278" s="2051"/>
      <c r="V278" s="2042"/>
      <c r="W278" s="2042"/>
      <c r="X278" s="2042"/>
      <c r="Y278" s="2042"/>
      <c r="Z278" s="2042"/>
      <c r="AA278" s="2052"/>
      <c r="AB278" s="2052"/>
      <c r="AC278" s="2052"/>
      <c r="AD278" s="2052"/>
      <c r="AE278" s="2052"/>
      <c r="AF278" s="2053">
        <v>0</v>
      </c>
    </row>
    <row r="279" spans="1:32" ht="258.75">
      <c r="A279" s="2041"/>
      <c r="B279" s="2042"/>
      <c r="C279" s="2043"/>
      <c r="D279" s="2044" t="s">
        <v>568</v>
      </c>
      <c r="E279" s="2045" t="str">
        <f>E206&amp;".72"</f>
        <v>15.72</v>
      </c>
      <c r="F279" s="2046" t="s">
        <v>666</v>
      </c>
      <c r="G279" s="2047" t="s">
        <v>559</v>
      </c>
      <c r="H279" s="2048"/>
      <c r="I279" s="2048">
        <v>157.80000000000001</v>
      </c>
      <c r="J279" s="2049" t="s">
        <v>560</v>
      </c>
      <c r="K279" s="2050"/>
      <c r="L279" s="2043"/>
      <c r="M279" s="2043"/>
      <c r="N279" s="2042"/>
      <c r="O279" s="2042"/>
      <c r="P279" s="2042"/>
      <c r="Q279" s="2042"/>
      <c r="R279" s="2043"/>
      <c r="S279" s="2042"/>
      <c r="T279" s="2042"/>
      <c r="U279" s="2051"/>
      <c r="V279" s="2042"/>
      <c r="W279" s="2042"/>
      <c r="X279" s="2042"/>
      <c r="Y279" s="2042"/>
      <c r="Z279" s="2042"/>
      <c r="AA279" s="2052"/>
      <c r="AB279" s="2052"/>
      <c r="AC279" s="2052"/>
      <c r="AD279" s="2052"/>
      <c r="AE279" s="2052"/>
      <c r="AF279" s="2053">
        <v>0</v>
      </c>
    </row>
    <row r="280" spans="1:32" ht="258.75">
      <c r="A280" s="2041"/>
      <c r="B280" s="2042"/>
      <c r="C280" s="2043"/>
      <c r="D280" s="2044" t="s">
        <v>568</v>
      </c>
      <c r="E280" s="2045" t="str">
        <f>E206&amp;".73"</f>
        <v>15.73</v>
      </c>
      <c r="F280" s="2046" t="s">
        <v>667</v>
      </c>
      <c r="G280" s="2047" t="s">
        <v>559</v>
      </c>
      <c r="H280" s="2048"/>
      <c r="I280" s="2048">
        <v>161.9</v>
      </c>
      <c r="J280" s="2049" t="s">
        <v>560</v>
      </c>
      <c r="K280" s="2050"/>
      <c r="L280" s="2043"/>
      <c r="M280" s="2043"/>
      <c r="N280" s="2042"/>
      <c r="O280" s="2042"/>
      <c r="P280" s="2042"/>
      <c r="Q280" s="2042"/>
      <c r="R280" s="2043"/>
      <c r="S280" s="2042"/>
      <c r="T280" s="2042"/>
      <c r="U280" s="2051"/>
      <c r="V280" s="2042"/>
      <c r="W280" s="2042"/>
      <c r="X280" s="2042"/>
      <c r="Y280" s="2042"/>
      <c r="Z280" s="2042"/>
      <c r="AA280" s="2052"/>
      <c r="AB280" s="2052"/>
      <c r="AC280" s="2052"/>
      <c r="AD280" s="2052"/>
      <c r="AE280" s="2052"/>
      <c r="AF280" s="2053">
        <v>0</v>
      </c>
    </row>
    <row r="281" spans="1:32" ht="258.75">
      <c r="A281" s="2041"/>
      <c r="B281" s="2042"/>
      <c r="C281" s="2043"/>
      <c r="D281" s="2044" t="s">
        <v>568</v>
      </c>
      <c r="E281" s="2045" t="str">
        <f>E206&amp;".74"</f>
        <v>15.74</v>
      </c>
      <c r="F281" s="2046" t="s">
        <v>668</v>
      </c>
      <c r="G281" s="2047" t="s">
        <v>559</v>
      </c>
      <c r="H281" s="2048"/>
      <c r="I281" s="2048">
        <v>168.6</v>
      </c>
      <c r="J281" s="2049" t="s">
        <v>560</v>
      </c>
      <c r="K281" s="2050"/>
      <c r="L281" s="2043"/>
      <c r="M281" s="2043"/>
      <c r="N281" s="2042"/>
      <c r="O281" s="2042"/>
      <c r="P281" s="2042"/>
      <c r="Q281" s="2042"/>
      <c r="R281" s="2043"/>
      <c r="S281" s="2042"/>
      <c r="T281" s="2042"/>
      <c r="U281" s="2051"/>
      <c r="V281" s="2042"/>
      <c r="W281" s="2042"/>
      <c r="X281" s="2042"/>
      <c r="Y281" s="2042"/>
      <c r="Z281" s="2042"/>
      <c r="AA281" s="2052"/>
      <c r="AB281" s="2052"/>
      <c r="AC281" s="2052"/>
      <c r="AD281" s="2052"/>
      <c r="AE281" s="2052"/>
      <c r="AF281" s="2053">
        <v>0</v>
      </c>
    </row>
    <row r="282" spans="1:32" ht="258.75">
      <c r="A282" s="2041"/>
      <c r="B282" s="2042"/>
      <c r="C282" s="2043"/>
      <c r="D282" s="2044" t="s">
        <v>568</v>
      </c>
      <c r="E282" s="2045" t="str">
        <f>E206&amp;".75"</f>
        <v>15.75</v>
      </c>
      <c r="F282" s="2046" t="s">
        <v>669</v>
      </c>
      <c r="G282" s="2047" t="s">
        <v>559</v>
      </c>
      <c r="H282" s="2048"/>
      <c r="I282" s="2048">
        <v>160.69999999999999</v>
      </c>
      <c r="J282" s="2049" t="s">
        <v>560</v>
      </c>
      <c r="K282" s="2050"/>
      <c r="L282" s="2043"/>
      <c r="M282" s="2043"/>
      <c r="N282" s="2042"/>
      <c r="O282" s="2042"/>
      <c r="P282" s="2042"/>
      <c r="Q282" s="2042"/>
      <c r="R282" s="2043"/>
      <c r="S282" s="2042"/>
      <c r="T282" s="2042"/>
      <c r="U282" s="2051"/>
      <c r="V282" s="2042"/>
      <c r="W282" s="2042"/>
      <c r="X282" s="2042"/>
      <c r="Y282" s="2042"/>
      <c r="Z282" s="2042"/>
      <c r="AA282" s="2052"/>
      <c r="AB282" s="2052"/>
      <c r="AC282" s="2052"/>
      <c r="AD282" s="2052"/>
      <c r="AE282" s="2052"/>
      <c r="AF282" s="2053">
        <v>0</v>
      </c>
    </row>
    <row r="283" spans="1:32" ht="258.75">
      <c r="A283" s="2041"/>
      <c r="B283" s="2042"/>
      <c r="C283" s="2043"/>
      <c r="D283" s="2044" t="s">
        <v>568</v>
      </c>
      <c r="E283" s="2045" t="str">
        <f>E206&amp;".76"</f>
        <v>15.76</v>
      </c>
      <c r="F283" s="2046" t="s">
        <v>670</v>
      </c>
      <c r="G283" s="2047" t="s">
        <v>559</v>
      </c>
      <c r="H283" s="2048"/>
      <c r="I283" s="2048">
        <v>165.95</v>
      </c>
      <c r="J283" s="2049" t="s">
        <v>560</v>
      </c>
      <c r="K283" s="2050"/>
      <c r="L283" s="2043"/>
      <c r="M283" s="2043"/>
      <c r="N283" s="2042"/>
      <c r="O283" s="2042"/>
      <c r="P283" s="2042"/>
      <c r="Q283" s="2042"/>
      <c r="R283" s="2043"/>
      <c r="S283" s="2042"/>
      <c r="T283" s="2042"/>
      <c r="U283" s="2051"/>
      <c r="V283" s="2042"/>
      <c r="W283" s="2042"/>
      <c r="X283" s="2042"/>
      <c r="Y283" s="2042"/>
      <c r="Z283" s="2042"/>
      <c r="AA283" s="2052"/>
      <c r="AB283" s="2052"/>
      <c r="AC283" s="2052"/>
      <c r="AD283" s="2052"/>
      <c r="AE283" s="2052"/>
      <c r="AF283" s="2053">
        <v>0</v>
      </c>
    </row>
    <row r="284" spans="1:32" ht="236.25">
      <c r="A284" s="1994"/>
      <c r="D284" s="1549"/>
      <c r="E284" s="506"/>
      <c r="F284" s="1084" t="s">
        <v>671</v>
      </c>
      <c r="G284" s="508"/>
      <c r="H284" s="509"/>
      <c r="I284" s="509"/>
      <c r="J284" s="926" t="s">
        <v>683</v>
      </c>
      <c r="K284" s="479"/>
      <c r="AF284" s="1547">
        <v>0</v>
      </c>
    </row>
    <row r="285" spans="1:32" ht="409.5">
      <c r="A285" s="1994"/>
      <c r="D285" s="1554"/>
      <c r="E285" s="482" t="str">
        <f>FHD_NUM_P_79</f>
        <v>16</v>
      </c>
      <c r="F285" s="17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285" s="1790" t="s">
        <v>561</v>
      </c>
      <c r="H285" s="513"/>
      <c r="I285" s="513">
        <v>165.57</v>
      </c>
      <c r="J285"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285" s="479"/>
      <c r="AF285" s="1547">
        <v>0</v>
      </c>
    </row>
    <row r="286" spans="1:32" ht="11.25">
      <c r="A286" s="1994"/>
      <c r="D286" s="484"/>
      <c r="E286" s="935" t="str">
        <f>E285&amp;".0"</f>
        <v>16.0</v>
      </c>
      <c r="F286" s="921"/>
      <c r="G286" s="1567"/>
      <c r="H286" s="915"/>
      <c r="I286" s="915"/>
      <c r="J286" s="919"/>
      <c r="AF286" s="1552">
        <v>0</v>
      </c>
    </row>
    <row r="287" spans="1:32" ht="247.5">
      <c r="A287" s="1994"/>
      <c r="D287" s="1549"/>
      <c r="E287" s="506"/>
      <c r="F287" s="1084" t="s">
        <v>671</v>
      </c>
      <c r="G287" s="508"/>
      <c r="H287" s="509"/>
      <c r="I287" s="509"/>
      <c r="J287" s="926" t="s">
        <v>684</v>
      </c>
      <c r="K287" s="479"/>
      <c r="AF287" s="1547">
        <v>0</v>
      </c>
    </row>
    <row r="288" spans="1:32" ht="360">
      <c r="A288" s="1994"/>
      <c r="D288" s="1554"/>
      <c r="E288" s="482" t="str">
        <f>FHD_NUM_P_80</f>
        <v>17</v>
      </c>
      <c r="F288" s="17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88" s="1790" t="s">
        <v>685</v>
      </c>
      <c r="H288" s="493"/>
      <c r="I288" s="493">
        <v>33.19</v>
      </c>
      <c r="J288" s="226" t="str">
        <f>FHD_NOTE_P_80</f>
        <v>Регулируемыми организациями указывается информация с по договорам, заключенным в рамках осуществления регулируемой деятельности.</v>
      </c>
      <c r="K288" s="479"/>
      <c r="AF288" s="1547">
        <v>0</v>
      </c>
    </row>
    <row r="289" spans="1:32" ht="337.5">
      <c r="A289" s="1994"/>
      <c r="D289" s="1554"/>
      <c r="E289" s="482" t="str">
        <f>FHD_NUM_P_81</f>
        <v>18</v>
      </c>
      <c r="F289" s="17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289" s="1790" t="s">
        <v>686</v>
      </c>
      <c r="H289" s="493"/>
      <c r="I289" s="493">
        <v>0.17899999999999999</v>
      </c>
      <c r="J289" s="226" t="str">
        <f>FHD_NOTE_P_81</f>
        <v>Регулируемыми организациями указывается информация с по договорам, заключенным в рамках осуществления регулируемой деятельности.</v>
      </c>
      <c r="K289" s="479"/>
      <c r="AF289" s="1547">
        <v>0</v>
      </c>
    </row>
    <row r="290" spans="1:32" ht="409.5">
      <c r="A290" s="1994"/>
      <c r="C290" s="1552" t="s">
        <v>587</v>
      </c>
      <c r="D290" s="1554"/>
      <c r="E290" s="482" t="str">
        <f>FHD_NUM_P_82</f>
        <v>19</v>
      </c>
      <c r="F290" s="17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290" s="1790" t="s">
        <v>305</v>
      </c>
      <c r="H290" s="337"/>
      <c r="I290" s="2054" t="s">
        <v>687</v>
      </c>
      <c r="J290" s="226" t="str">
        <f>FHD_NOTE_P_82</f>
        <v>Указывается ссылка на документ, предварительно загруженный в хранилище файлов ФГИС ЕИАС.</v>
      </c>
      <c r="K290" s="479"/>
      <c r="AF290" s="1547">
        <v>0</v>
      </c>
    </row>
    <row r="291" spans="1:32" ht="146.25">
      <c r="A291" s="1994"/>
      <c r="C291" s="1552" t="s">
        <v>587</v>
      </c>
      <c r="D291" s="1554"/>
      <c r="E291" s="482" t="str">
        <f>FHD_NUM_P_83</f>
        <v>19.1</v>
      </c>
      <c r="F291" s="1440" t="str">
        <f>FHD_P_83</f>
        <v>Информация о показателях физического износа объектов теплоснабжения</v>
      </c>
      <c r="G291" s="1790" t="s">
        <v>305</v>
      </c>
      <c r="H291" s="337"/>
      <c r="I291" s="2054" t="s">
        <v>688</v>
      </c>
      <c r="J291" s="226" t="str">
        <f>FHD_NOTE_P_83</f>
        <v>Указывается ссылка на документ, предварительно загруженный в хранилище файлов ФГИС ЕИАС.</v>
      </c>
      <c r="K291" s="479"/>
      <c r="AF291" s="1547">
        <v>0</v>
      </c>
    </row>
    <row r="292" spans="1:32" ht="180">
      <c r="A292" s="1994"/>
      <c r="C292" s="1552" t="s">
        <v>587</v>
      </c>
      <c r="D292" s="1554"/>
      <c r="E292" s="482" t="str">
        <f>FHD_NUM_P_84</f>
        <v>19.2</v>
      </c>
      <c r="F292" s="1440" t="str">
        <f>FHD_P_84</f>
        <v>Информация о показателях энергетической эффективности объектов теплоснабжения</v>
      </c>
      <c r="G292" s="1790" t="s">
        <v>305</v>
      </c>
      <c r="H292" s="337"/>
      <c r="I292" s="2054" t="s">
        <v>588</v>
      </c>
      <c r="J292" s="226" t="str">
        <f>FHD_NOTE_P_84</f>
        <v>Указывается ссылка на документ, предварительно загруженный в хранилище файлов ФГИС ЕИАС.</v>
      </c>
      <c r="K292" s="479"/>
      <c r="AF292" s="1547">
        <v>0</v>
      </c>
    </row>
    <row r="293" spans="1:32" ht="11.25">
      <c r="D293" s="1554"/>
      <c r="AF293" s="1547">
        <v>11</v>
      </c>
    </row>
    <row r="294" spans="1:32" ht="11.25">
      <c r="D294" s="1554"/>
      <c r="E294" s="273"/>
      <c r="F294" s="305"/>
      <c r="G294" s="305"/>
      <c r="H294" s="305"/>
      <c r="I294" s="1563"/>
      <c r="J294" s="517"/>
      <c r="AF294" s="1547">
        <v>13</v>
      </c>
    </row>
    <row r="295" spans="1:32" ht="11.25">
      <c r="A295" s="910"/>
      <c r="B295" s="1552"/>
      <c r="C295" s="1552"/>
      <c r="D295" s="287"/>
      <c r="F295" s="1556"/>
      <c r="G295" s="1547"/>
      <c r="H295" s="1547"/>
      <c r="I295" s="1547"/>
      <c r="K295" s="1076"/>
      <c r="L295" s="1552"/>
      <c r="M295" s="1552"/>
      <c r="N295" s="1076"/>
      <c r="O295" s="1076"/>
      <c r="P295" s="1076"/>
      <c r="Q295" s="1076"/>
      <c r="R295" s="1552"/>
      <c r="S295" s="1076"/>
      <c r="T295" s="1076"/>
      <c r="U295" s="480"/>
      <c r="V295" s="1076"/>
      <c r="W295" s="1076"/>
      <c r="X295" s="1076"/>
      <c r="Y295" s="1076"/>
      <c r="Z295" s="1076"/>
      <c r="AA295" s="1548"/>
      <c r="AB295" s="502"/>
      <c r="AC295" s="502"/>
      <c r="AD295" s="502"/>
      <c r="AE295" s="502"/>
      <c r="AF295" s="1557">
        <v>11</v>
      </c>
    </row>
    <row r="296" spans="1:32" ht="11.25">
      <c r="A296" s="910"/>
      <c r="B296" s="1552"/>
      <c r="C296" s="1552"/>
      <c r="D296" s="287"/>
      <c r="K296" s="1076"/>
      <c r="L296" s="1552"/>
      <c r="M296" s="1552"/>
      <c r="N296" s="1076"/>
      <c r="O296" s="1076"/>
      <c r="P296" s="1076"/>
      <c r="Q296" s="1076"/>
      <c r="R296" s="1552"/>
      <c r="S296" s="1076"/>
      <c r="T296" s="1076"/>
      <c r="U296" s="480"/>
      <c r="V296" s="1076"/>
      <c r="W296" s="1076"/>
      <c r="X296" s="1076"/>
      <c r="Y296" s="1076"/>
      <c r="Z296" s="1076"/>
      <c r="AA296" s="1548"/>
      <c r="AB296" s="502"/>
      <c r="AC296" s="502"/>
      <c r="AD296" s="502"/>
      <c r="AE296" s="502"/>
      <c r="AF296" s="1557">
        <v>11</v>
      </c>
    </row>
    <row r="297" spans="1:32" ht="11.25">
      <c r="A297" s="910"/>
      <c r="B297" s="1552"/>
      <c r="C297" s="1552"/>
      <c r="D297" s="287"/>
      <c r="K297" s="1076"/>
      <c r="L297" s="1552"/>
      <c r="M297" s="1552"/>
      <c r="N297" s="1076"/>
      <c r="O297" s="1076"/>
      <c r="P297" s="1076"/>
      <c r="Q297" s="1076"/>
      <c r="R297" s="1552"/>
      <c r="S297" s="1076"/>
      <c r="T297" s="1076"/>
      <c r="U297" s="480"/>
      <c r="V297" s="1076"/>
      <c r="W297" s="1076"/>
      <c r="X297" s="1076"/>
      <c r="Y297" s="1076"/>
      <c r="Z297" s="1076"/>
      <c r="AA297" s="1548"/>
      <c r="AB297" s="502"/>
      <c r="AC297" s="502"/>
      <c r="AD297" s="502"/>
      <c r="AE297" s="502"/>
      <c r="AF297" s="1557">
        <v>11</v>
      </c>
    </row>
    <row r="298" spans="1:32" ht="11.25">
      <c r="A298" s="910"/>
      <c r="B298" s="1552"/>
      <c r="C298" s="1552"/>
      <c r="D298" s="287"/>
      <c r="H298" s="502" t="str">
        <f>IF(H30-H31&lt;&gt;H82,"WARNING","")</f>
        <v/>
      </c>
      <c r="I298" s="502" t="str">
        <f>IF(I30-I31&lt;&gt;I82,"WARNING","")</f>
        <v>WARNING</v>
      </c>
      <c r="K298" s="1076"/>
      <c r="L298" s="1552"/>
      <c r="M298" s="1552"/>
      <c r="N298" s="1076"/>
      <c r="O298" s="1076"/>
      <c r="P298" s="1076"/>
      <c r="Q298" s="1076"/>
      <c r="R298" s="1552"/>
      <c r="S298" s="1076"/>
      <c r="T298" s="1076"/>
      <c r="U298" s="480"/>
      <c r="V298" s="1076"/>
      <c r="W298" s="1076"/>
      <c r="X298" s="1076"/>
      <c r="Y298" s="1076"/>
      <c r="Z298" s="1076"/>
      <c r="AA298" s="1548"/>
      <c r="AB298" s="502"/>
      <c r="AC298" s="502"/>
      <c r="AD298" s="502"/>
      <c r="AE298" s="502"/>
      <c r="AF298" s="1557">
        <v>11</v>
      </c>
    </row>
    <row r="299" spans="1:32" ht="11.25">
      <c r="A299" s="910"/>
      <c r="B299" s="1552"/>
      <c r="C299" s="1552"/>
      <c r="D299" s="287"/>
      <c r="K299" s="1076"/>
      <c r="L299" s="1552"/>
      <c r="M299" s="1552"/>
      <c r="N299" s="1076"/>
      <c r="O299" s="1076"/>
      <c r="P299" s="1076"/>
      <c r="Q299" s="1076"/>
      <c r="R299" s="1552"/>
      <c r="S299" s="1076"/>
      <c r="T299" s="1076"/>
      <c r="U299" s="480"/>
      <c r="V299" s="1076"/>
      <c r="W299" s="1076"/>
      <c r="X299" s="1076"/>
      <c r="Y299" s="1076"/>
      <c r="Z299" s="1076"/>
      <c r="AA299" s="1548"/>
      <c r="AB299" s="502"/>
      <c r="AC299" s="502"/>
      <c r="AD299" s="502"/>
      <c r="AE299" s="502"/>
      <c r="AF299" s="1557">
        <v>11</v>
      </c>
    </row>
    <row r="300" spans="1:32" ht="11.25">
      <c r="A300" s="910"/>
      <c r="B300" s="1552"/>
      <c r="C300" s="1552"/>
      <c r="D300" s="287"/>
      <c r="K300" s="1076"/>
      <c r="L300" s="1552"/>
      <c r="M300" s="1552"/>
      <c r="N300" s="1076"/>
      <c r="O300" s="1076"/>
      <c r="P300" s="1076"/>
      <c r="Q300" s="1076"/>
      <c r="R300" s="1552"/>
      <c r="S300" s="1076"/>
      <c r="T300" s="1076"/>
      <c r="U300" s="480"/>
      <c r="V300" s="1076"/>
      <c r="W300" s="1076"/>
      <c r="X300" s="1076"/>
      <c r="Y300" s="1076"/>
      <c r="Z300" s="1076"/>
      <c r="AA300" s="1548"/>
      <c r="AB300" s="502"/>
      <c r="AC300" s="502"/>
      <c r="AD300" s="502"/>
      <c r="AE300" s="502"/>
      <c r="AF300" s="1557">
        <v>11</v>
      </c>
    </row>
    <row r="301" spans="1:32" ht="11.25">
      <c r="A301" s="910"/>
      <c r="B301" s="1552"/>
      <c r="C301" s="1552"/>
      <c r="D301" s="287"/>
      <c r="K301" s="1076"/>
      <c r="L301" s="1552"/>
      <c r="M301" s="1552"/>
      <c r="N301" s="1076"/>
      <c r="O301" s="1076"/>
      <c r="P301" s="1076"/>
      <c r="Q301" s="1076"/>
      <c r="R301" s="1552"/>
      <c r="S301" s="1076"/>
      <c r="T301" s="1076"/>
      <c r="U301" s="480"/>
      <c r="V301" s="1076"/>
      <c r="W301" s="1076"/>
      <c r="X301" s="1076"/>
      <c r="Y301" s="1076"/>
      <c r="Z301" s="1076"/>
      <c r="AA301" s="1548"/>
      <c r="AB301" s="502"/>
      <c r="AC301" s="502"/>
      <c r="AD301" s="502"/>
      <c r="AE301" s="502"/>
      <c r="AF301" s="1557">
        <v>11</v>
      </c>
    </row>
    <row r="302" spans="1:32" ht="11.25">
      <c r="A302" s="910"/>
      <c r="B302" s="1552"/>
      <c r="C302" s="1552"/>
      <c r="D302" s="287"/>
      <c r="K302" s="1076"/>
      <c r="L302" s="1552"/>
      <c r="M302" s="1552"/>
      <c r="N302" s="1076"/>
      <c r="O302" s="1076"/>
      <c r="P302" s="1076"/>
      <c r="Q302" s="1076"/>
      <c r="R302" s="1552"/>
      <c r="S302" s="1076"/>
      <c r="T302" s="1076"/>
      <c r="U302" s="480"/>
      <c r="V302" s="1076"/>
      <c r="W302" s="1076"/>
      <c r="X302" s="1076"/>
      <c r="Y302" s="1076"/>
      <c r="Z302" s="1076"/>
      <c r="AA302" s="1548"/>
      <c r="AB302" s="502"/>
      <c r="AC302" s="502"/>
      <c r="AD302" s="502"/>
      <c r="AE302" s="502"/>
      <c r="AF302" s="1557">
        <v>11</v>
      </c>
    </row>
    <row r="303" spans="1:32" ht="11.25">
      <c r="A303" s="910"/>
      <c r="B303" s="1552"/>
      <c r="C303" s="1552"/>
      <c r="D303" s="287"/>
      <c r="K303" s="1076"/>
      <c r="L303" s="1552"/>
      <c r="M303" s="1552"/>
      <c r="N303" s="1076"/>
      <c r="O303" s="1076"/>
      <c r="P303" s="1076"/>
      <c r="Q303" s="1076"/>
      <c r="R303" s="1552"/>
      <c r="S303" s="1076"/>
      <c r="T303" s="1076"/>
      <c r="U303" s="480"/>
      <c r="V303" s="1076"/>
      <c r="W303" s="1076"/>
      <c r="X303" s="1076"/>
      <c r="Y303" s="1076"/>
      <c r="Z303" s="1076"/>
      <c r="AA303" s="1548"/>
      <c r="AB303" s="502"/>
      <c r="AC303" s="502"/>
      <c r="AD303" s="502"/>
      <c r="AE303" s="502"/>
      <c r="AF303" s="1557">
        <v>11</v>
      </c>
    </row>
    <row r="304" spans="1:32" ht="11.25">
      <c r="A304" s="910"/>
      <c r="B304" s="1552"/>
      <c r="C304" s="1552"/>
      <c r="D304" s="287"/>
      <c r="K304" s="1076"/>
      <c r="L304" s="1552"/>
      <c r="M304" s="1552"/>
      <c r="N304" s="1076"/>
      <c r="O304" s="1076"/>
      <c r="P304" s="1076"/>
      <c r="Q304" s="1076"/>
      <c r="R304" s="1552"/>
      <c r="S304" s="1076"/>
      <c r="T304" s="1076"/>
      <c r="U304" s="480"/>
      <c r="V304" s="1076"/>
      <c r="W304" s="1076"/>
      <c r="X304" s="1076"/>
      <c r="Y304" s="1076"/>
      <c r="Z304" s="1076"/>
      <c r="AA304" s="1548"/>
      <c r="AB304" s="502"/>
      <c r="AC304" s="502"/>
      <c r="AD304" s="502"/>
      <c r="AE304" s="502"/>
      <c r="AF304" s="1557">
        <v>11</v>
      </c>
    </row>
    <row r="305" spans="1:32" ht="11.25">
      <c r="A305" s="910"/>
      <c r="B305" s="1552"/>
      <c r="C305" s="1552"/>
      <c r="D305" s="287"/>
      <c r="K305" s="1076"/>
      <c r="L305" s="1552"/>
      <c r="M305" s="1552"/>
      <c r="N305" s="1076"/>
      <c r="O305" s="1076"/>
      <c r="P305" s="1076"/>
      <c r="Q305" s="1076"/>
      <c r="R305" s="1552"/>
      <c r="S305" s="1076"/>
      <c r="T305" s="1076"/>
      <c r="U305" s="480"/>
      <c r="V305" s="1076"/>
      <c r="W305" s="1076"/>
      <c r="X305" s="1076"/>
      <c r="Y305" s="1076"/>
      <c r="Z305" s="1076"/>
      <c r="AA305" s="1548"/>
      <c r="AB305" s="502"/>
      <c r="AC305" s="502"/>
      <c r="AD305" s="502"/>
      <c r="AE305" s="502"/>
      <c r="AF305" s="1557">
        <v>11</v>
      </c>
    </row>
    <row r="306" spans="1:32" ht="11.25">
      <c r="A306" s="910"/>
      <c r="B306" s="1552"/>
      <c r="C306" s="1552"/>
      <c r="D306" s="287"/>
      <c r="K306" s="1076"/>
      <c r="L306" s="1552"/>
      <c r="M306" s="1552"/>
      <c r="N306" s="1076"/>
      <c r="O306" s="1076"/>
      <c r="P306" s="1076"/>
      <c r="Q306" s="1076"/>
      <c r="R306" s="1552"/>
      <c r="S306" s="1076"/>
      <c r="T306" s="1076"/>
      <c r="U306" s="480"/>
      <c r="V306" s="1076"/>
      <c r="W306" s="1076"/>
      <c r="X306" s="1076"/>
      <c r="Y306" s="1076"/>
      <c r="Z306" s="1076"/>
      <c r="AA306" s="1548"/>
      <c r="AB306" s="502"/>
      <c r="AC306" s="502"/>
      <c r="AD306" s="502"/>
      <c r="AE306" s="502"/>
      <c r="AF306" s="1557">
        <v>11</v>
      </c>
    </row>
    <row r="307" spans="1:32" ht="11.25">
      <c r="A307" s="910"/>
      <c r="B307" s="1552"/>
      <c r="C307" s="1552"/>
      <c r="D307" s="287"/>
      <c r="K307" s="1076"/>
      <c r="L307" s="1552"/>
      <c r="M307" s="1552"/>
      <c r="N307" s="1076"/>
      <c r="O307" s="1076"/>
      <c r="P307" s="1076"/>
      <c r="Q307" s="1076"/>
      <c r="R307" s="1552"/>
      <c r="S307" s="1076"/>
      <c r="T307" s="1076"/>
      <c r="U307" s="480"/>
      <c r="V307" s="1076"/>
      <c r="W307" s="1076"/>
      <c r="X307" s="1076"/>
      <c r="Y307" s="1076"/>
      <c r="Z307" s="1076"/>
      <c r="AA307" s="1548"/>
      <c r="AB307" s="502"/>
      <c r="AC307" s="502"/>
      <c r="AD307" s="502"/>
      <c r="AE307" s="502"/>
      <c r="AF307" s="1557">
        <v>11</v>
      </c>
    </row>
    <row r="308" spans="1:32" ht="11.25">
      <c r="A308" s="910"/>
      <c r="B308" s="1552"/>
      <c r="C308" s="1552"/>
      <c r="D308" s="287"/>
      <c r="K308" s="1076"/>
      <c r="L308" s="1552"/>
      <c r="M308" s="1552"/>
      <c r="N308" s="1076"/>
      <c r="O308" s="1076"/>
      <c r="P308" s="1076"/>
      <c r="Q308" s="1076"/>
      <c r="R308" s="1552"/>
      <c r="S308" s="1076"/>
      <c r="T308" s="1076"/>
      <c r="U308" s="480"/>
      <c r="V308" s="1076"/>
      <c r="W308" s="1076"/>
      <c r="X308" s="1076"/>
      <c r="Y308" s="1076"/>
      <c r="Z308" s="1076"/>
      <c r="AA308" s="1548"/>
      <c r="AB308" s="502"/>
      <c r="AC308" s="502"/>
      <c r="AD308" s="502"/>
      <c r="AE308" s="502"/>
      <c r="AF308" s="1557">
        <v>11</v>
      </c>
    </row>
    <row r="309" spans="1:32" ht="11.25">
      <c r="A309" s="910"/>
      <c r="B309" s="1552"/>
      <c r="C309" s="1552"/>
      <c r="D309" s="287"/>
      <c r="K309" s="1076"/>
      <c r="L309" s="1552"/>
      <c r="M309" s="1552"/>
      <c r="N309" s="1076"/>
      <c r="O309" s="1076"/>
      <c r="P309" s="1076"/>
      <c r="Q309" s="1076"/>
      <c r="R309" s="1552"/>
      <c r="S309" s="1076"/>
      <c r="T309" s="1076"/>
      <c r="U309" s="480"/>
      <c r="V309" s="1076"/>
      <c r="W309" s="1076"/>
      <c r="X309" s="1076"/>
      <c r="Y309" s="1076"/>
      <c r="Z309" s="1076"/>
      <c r="AA309" s="1548"/>
      <c r="AB309" s="502"/>
      <c r="AC309" s="502"/>
      <c r="AD309" s="502"/>
      <c r="AE309" s="502"/>
      <c r="AF309" s="1557">
        <v>11</v>
      </c>
    </row>
    <row r="310" spans="1:32" ht="11.25">
      <c r="A310" s="910"/>
      <c r="B310" s="1552"/>
      <c r="C310" s="1552"/>
      <c r="D310" s="287"/>
      <c r="K310" s="1076"/>
      <c r="L310" s="1552"/>
      <c r="M310" s="1552"/>
      <c r="N310" s="1076"/>
      <c r="O310" s="1076"/>
      <c r="P310" s="1076"/>
      <c r="Q310" s="1076"/>
      <c r="R310" s="1552"/>
      <c r="S310" s="1076"/>
      <c r="T310" s="1076"/>
      <c r="U310" s="480"/>
      <c r="V310" s="1076"/>
      <c r="W310" s="1076"/>
      <c r="X310" s="1076"/>
      <c r="Y310" s="1076"/>
      <c r="Z310" s="1076"/>
      <c r="AA310" s="1548"/>
      <c r="AB310" s="502"/>
      <c r="AC310" s="502"/>
      <c r="AD310" s="502"/>
      <c r="AE310" s="502"/>
      <c r="AF310" s="1557">
        <v>11</v>
      </c>
    </row>
    <row r="311" spans="1:32" ht="11.25">
      <c r="A311" s="910"/>
      <c r="B311" s="1552"/>
      <c r="C311" s="1552"/>
      <c r="D311" s="287"/>
      <c r="K311" s="1076"/>
      <c r="L311" s="1552"/>
      <c r="M311" s="1552"/>
      <c r="N311" s="1076"/>
      <c r="O311" s="1076"/>
      <c r="P311" s="1076"/>
      <c r="Q311" s="1076"/>
      <c r="R311" s="1552"/>
      <c r="S311" s="1076"/>
      <c r="T311" s="1076"/>
      <c r="U311" s="480"/>
      <c r="V311" s="1076"/>
      <c r="W311" s="1076"/>
      <c r="X311" s="1076"/>
      <c r="Y311" s="1076"/>
      <c r="Z311" s="1076"/>
      <c r="AA311" s="1548"/>
      <c r="AB311" s="502"/>
      <c r="AC311" s="502"/>
      <c r="AD311" s="502"/>
      <c r="AE311" s="502"/>
      <c r="AF311" s="1557">
        <v>11</v>
      </c>
    </row>
    <row r="312" spans="1:32" ht="11.25">
      <c r="A312" s="910"/>
      <c r="B312" s="1552"/>
      <c r="C312" s="1552"/>
      <c r="D312" s="287"/>
      <c r="K312" s="1076"/>
      <c r="L312" s="1552"/>
      <c r="M312" s="1552"/>
      <c r="N312" s="1076"/>
      <c r="O312" s="1076"/>
      <c r="P312" s="1076"/>
      <c r="Q312" s="1076"/>
      <c r="R312" s="1552"/>
      <c r="S312" s="1076"/>
      <c r="T312" s="1076"/>
      <c r="U312" s="480"/>
      <c r="V312" s="1076"/>
      <c r="W312" s="1076"/>
      <c r="X312" s="1076"/>
      <c r="Y312" s="1076"/>
      <c r="Z312" s="1076"/>
      <c r="AA312" s="1548"/>
      <c r="AB312" s="502"/>
      <c r="AC312" s="502"/>
      <c r="AD312" s="502"/>
      <c r="AE312" s="502"/>
      <c r="AF312" s="1557">
        <v>11</v>
      </c>
    </row>
    <row r="313" spans="1:32" ht="11.25">
      <c r="A313" s="910"/>
      <c r="B313" s="1552"/>
      <c r="C313" s="1552"/>
      <c r="D313" s="287"/>
      <c r="K313" s="1076"/>
      <c r="L313" s="1552"/>
      <c r="M313" s="1552"/>
      <c r="N313" s="1076"/>
      <c r="O313" s="1076"/>
      <c r="P313" s="1076"/>
      <c r="Q313" s="1076"/>
      <c r="R313" s="1552"/>
      <c r="S313" s="1076"/>
      <c r="T313" s="1076"/>
      <c r="U313" s="480"/>
      <c r="V313" s="1076"/>
      <c r="W313" s="1076"/>
      <c r="X313" s="1076"/>
      <c r="Y313" s="1076"/>
      <c r="Z313" s="1076"/>
      <c r="AA313" s="1548"/>
      <c r="AB313" s="502"/>
      <c r="AC313" s="502"/>
      <c r="AD313" s="502"/>
      <c r="AE313" s="502"/>
      <c r="AF313" s="1557">
        <v>11</v>
      </c>
    </row>
    <row r="314" spans="1:32" ht="11.25">
      <c r="A314" s="910"/>
      <c r="B314" s="1552"/>
      <c r="C314" s="1552"/>
      <c r="D314" s="287"/>
      <c r="K314" s="1076"/>
      <c r="L314" s="1552"/>
      <c r="M314" s="1552"/>
      <c r="N314" s="1076"/>
      <c r="O314" s="1076"/>
      <c r="P314" s="1076"/>
      <c r="Q314" s="1076"/>
      <c r="R314" s="1552"/>
      <c r="S314" s="1076"/>
      <c r="T314" s="1076"/>
      <c r="U314" s="480"/>
      <c r="V314" s="1076"/>
      <c r="W314" s="1076"/>
      <c r="X314" s="1076"/>
      <c r="Y314" s="1076"/>
      <c r="Z314" s="1076"/>
      <c r="AA314" s="1548"/>
      <c r="AB314" s="502"/>
      <c r="AC314" s="502"/>
      <c r="AD314" s="502"/>
      <c r="AE314" s="502"/>
      <c r="AF314" s="1557">
        <v>11</v>
      </c>
    </row>
    <row r="315" spans="1:32" ht="11.25">
      <c r="A315" s="910"/>
      <c r="B315" s="1552"/>
      <c r="C315" s="1552"/>
      <c r="D315" s="287"/>
      <c r="K315" s="1076"/>
      <c r="L315" s="1552"/>
      <c r="M315" s="1552"/>
      <c r="N315" s="1076"/>
      <c r="O315" s="1076"/>
      <c r="P315" s="1076"/>
      <c r="Q315" s="1076"/>
      <c r="R315" s="1552"/>
      <c r="S315" s="1076"/>
      <c r="T315" s="1076"/>
      <c r="U315" s="480"/>
      <c r="V315" s="1076"/>
      <c r="W315" s="1076"/>
      <c r="X315" s="1076"/>
      <c r="Y315" s="1076"/>
      <c r="Z315" s="1076"/>
      <c r="AA315" s="1548"/>
      <c r="AB315" s="502"/>
      <c r="AC315" s="502"/>
      <c r="AD315" s="502"/>
      <c r="AE315" s="502"/>
      <c r="AF315" s="1557">
        <v>11</v>
      </c>
    </row>
    <row r="316" spans="1:32" ht="11.25">
      <c r="A316" s="910"/>
      <c r="B316" s="1552"/>
      <c r="C316" s="1552"/>
      <c r="D316" s="287"/>
      <c r="K316" s="1076"/>
      <c r="L316" s="1552"/>
      <c r="M316" s="1552"/>
      <c r="N316" s="1076"/>
      <c r="O316" s="1076"/>
      <c r="P316" s="1076"/>
      <c r="Q316" s="1076"/>
      <c r="R316" s="1552"/>
      <c r="S316" s="1076"/>
      <c r="T316" s="1076"/>
      <c r="U316" s="480"/>
      <c r="V316" s="1076"/>
      <c r="W316" s="1076"/>
      <c r="X316" s="1076"/>
      <c r="Y316" s="1076"/>
      <c r="Z316" s="1076"/>
      <c r="AA316" s="1548"/>
      <c r="AB316" s="502"/>
      <c r="AC316" s="502"/>
      <c r="AD316" s="502"/>
      <c r="AE316" s="502"/>
      <c r="AF316" s="1557">
        <v>11</v>
      </c>
    </row>
    <row r="317" spans="1:32" ht="11.25">
      <c r="A317" s="910"/>
      <c r="B317" s="1552"/>
      <c r="C317" s="1552"/>
      <c r="D317" s="287"/>
      <c r="K317" s="1076"/>
      <c r="L317" s="1552"/>
      <c r="M317" s="1552"/>
      <c r="N317" s="1076"/>
      <c r="O317" s="1076"/>
      <c r="P317" s="1076"/>
      <c r="Q317" s="1076"/>
      <c r="R317" s="1552"/>
      <c r="S317" s="1076"/>
      <c r="T317" s="1076"/>
      <c r="U317" s="480"/>
      <c r="V317" s="1076"/>
      <c r="W317" s="1076"/>
      <c r="X317" s="1076"/>
      <c r="Y317" s="1076"/>
      <c r="Z317" s="1076"/>
      <c r="AA317" s="1548"/>
      <c r="AB317" s="502"/>
      <c r="AC317" s="502"/>
      <c r="AD317" s="502"/>
      <c r="AE317" s="502"/>
      <c r="AF317" s="1557">
        <v>11</v>
      </c>
    </row>
    <row r="318" spans="1:32" ht="11.25">
      <c r="A318" s="910"/>
      <c r="B318" s="1552"/>
      <c r="C318" s="1552"/>
      <c r="D318" s="287"/>
      <c r="K318" s="1076"/>
      <c r="L318" s="1552"/>
      <c r="M318" s="1552"/>
      <c r="N318" s="1076"/>
      <c r="O318" s="1076"/>
      <c r="P318" s="1076"/>
      <c r="Q318" s="1076"/>
      <c r="R318" s="1552"/>
      <c r="S318" s="1076"/>
      <c r="T318" s="1076"/>
      <c r="U318" s="480"/>
      <c r="V318" s="1076"/>
      <c r="W318" s="1076"/>
      <c r="X318" s="1076"/>
      <c r="Y318" s="1076"/>
      <c r="Z318" s="1076"/>
      <c r="AA318" s="1548"/>
      <c r="AB318" s="502"/>
      <c r="AC318" s="502"/>
      <c r="AD318" s="502"/>
      <c r="AE318" s="502"/>
      <c r="AF318" s="1557">
        <v>11</v>
      </c>
    </row>
    <row r="319" spans="1:32" ht="11.25">
      <c r="A319" s="910"/>
      <c r="B319" s="1552"/>
      <c r="C319" s="1552"/>
      <c r="D319" s="287"/>
      <c r="K319" s="1076"/>
      <c r="L319" s="1552"/>
      <c r="M319" s="1552"/>
      <c r="N319" s="1076"/>
      <c r="O319" s="1076"/>
      <c r="P319" s="1076"/>
      <c r="Q319" s="1076"/>
      <c r="R319" s="1552"/>
      <c r="S319" s="1076"/>
      <c r="T319" s="1076"/>
      <c r="U319" s="480"/>
      <c r="V319" s="1076"/>
      <c r="W319" s="1076"/>
      <c r="X319" s="1076"/>
      <c r="Y319" s="1076"/>
      <c r="Z319" s="1076"/>
      <c r="AA319" s="1548"/>
      <c r="AB319" s="502"/>
      <c r="AC319" s="502"/>
      <c r="AD319" s="502"/>
      <c r="AE319" s="502"/>
      <c r="AF319" s="1557">
        <v>11</v>
      </c>
    </row>
    <row r="320" spans="1:32" ht="11.25">
      <c r="A320" s="910"/>
      <c r="B320" s="1552"/>
      <c r="C320" s="1552"/>
      <c r="D320" s="287"/>
      <c r="K320" s="1076"/>
      <c r="L320" s="1552"/>
      <c r="M320" s="1552"/>
      <c r="N320" s="1076"/>
      <c r="O320" s="1076"/>
      <c r="P320" s="1076"/>
      <c r="Q320" s="1076"/>
      <c r="R320" s="1552"/>
      <c r="S320" s="1076"/>
      <c r="T320" s="1076"/>
      <c r="U320" s="480"/>
      <c r="V320" s="1076"/>
      <c r="W320" s="1076"/>
      <c r="X320" s="1076"/>
      <c r="Y320" s="1076"/>
      <c r="Z320" s="1076"/>
      <c r="AA320" s="1548"/>
      <c r="AB320" s="502"/>
      <c r="AC320" s="502"/>
      <c r="AD320" s="502"/>
      <c r="AE320" s="502"/>
      <c r="AF320" s="1557">
        <v>11</v>
      </c>
    </row>
    <row r="321" spans="1:32" ht="11.25">
      <c r="A321" s="910"/>
      <c r="B321" s="1552"/>
      <c r="C321" s="1552"/>
      <c r="D321" s="287"/>
      <c r="K321" s="1076"/>
      <c r="L321" s="1552"/>
      <c r="M321" s="1552"/>
      <c r="N321" s="1076"/>
      <c r="O321" s="1076"/>
      <c r="P321" s="1076"/>
      <c r="Q321" s="1076"/>
      <c r="R321" s="1552"/>
      <c r="S321" s="1076"/>
      <c r="T321" s="1076"/>
      <c r="U321" s="480"/>
      <c r="V321" s="1076"/>
      <c r="W321" s="1076"/>
      <c r="X321" s="1076"/>
      <c r="Y321" s="1076"/>
      <c r="Z321" s="1076"/>
      <c r="AA321" s="1548"/>
      <c r="AB321" s="502"/>
      <c r="AC321" s="502"/>
      <c r="AD321" s="502"/>
      <c r="AE321" s="502"/>
      <c r="AF321" s="1557">
        <v>11</v>
      </c>
    </row>
    <row r="322" spans="1:32" ht="11.25">
      <c r="A322" s="910"/>
      <c r="B322" s="1552"/>
      <c r="C322" s="1552"/>
      <c r="D322" s="287"/>
      <c r="K322" s="1076"/>
      <c r="L322" s="1552"/>
      <c r="M322" s="1552"/>
      <c r="N322" s="1076"/>
      <c r="O322" s="1076"/>
      <c r="P322" s="1076"/>
      <c r="Q322" s="1076"/>
      <c r="R322" s="1552"/>
      <c r="S322" s="1076"/>
      <c r="T322" s="1076"/>
      <c r="U322" s="480"/>
      <c r="V322" s="1076"/>
      <c r="W322" s="1076"/>
      <c r="X322" s="1076"/>
      <c r="Y322" s="1076"/>
      <c r="Z322" s="1076"/>
      <c r="AA322" s="1548"/>
      <c r="AB322" s="502"/>
      <c r="AC322" s="502"/>
      <c r="AD322" s="502"/>
      <c r="AE322" s="502"/>
      <c r="AF322" s="1557">
        <v>11</v>
      </c>
    </row>
    <row r="323" spans="1:32" ht="11.25">
      <c r="A323" s="910"/>
      <c r="B323" s="1552"/>
      <c r="C323" s="1552"/>
      <c r="D323" s="287"/>
      <c r="K323" s="1076"/>
      <c r="L323" s="1552"/>
      <c r="M323" s="1552"/>
      <c r="N323" s="1076"/>
      <c r="O323" s="1076"/>
      <c r="P323" s="1076"/>
      <c r="Q323" s="1076"/>
      <c r="R323" s="1552"/>
      <c r="S323" s="1076"/>
      <c r="T323" s="1076"/>
      <c r="U323" s="480"/>
      <c r="V323" s="1076"/>
      <c r="W323" s="1076"/>
      <c r="X323" s="1076"/>
      <c r="Y323" s="1076"/>
      <c r="Z323" s="1076"/>
      <c r="AA323" s="1548"/>
      <c r="AB323" s="502"/>
      <c r="AC323" s="502"/>
      <c r="AD323" s="502"/>
      <c r="AE323" s="502"/>
      <c r="AF323" s="1557">
        <v>11</v>
      </c>
    </row>
    <row r="324" spans="1:32" ht="11.25">
      <c r="A324" s="910"/>
      <c r="B324" s="1552"/>
      <c r="C324" s="1552"/>
      <c r="D324" s="287"/>
      <c r="K324" s="1076"/>
      <c r="L324" s="1552"/>
      <c r="M324" s="1552"/>
      <c r="N324" s="1076"/>
      <c r="O324" s="1076"/>
      <c r="P324" s="1076"/>
      <c r="Q324" s="1076"/>
      <c r="R324" s="1552"/>
      <c r="S324" s="1076"/>
      <c r="T324" s="1076"/>
      <c r="U324" s="480"/>
      <c r="V324" s="1076"/>
      <c r="W324" s="1076"/>
      <c r="X324" s="1076"/>
      <c r="Y324" s="1076"/>
      <c r="Z324" s="1076"/>
      <c r="AA324" s="1548"/>
      <c r="AB324" s="502"/>
      <c r="AC324" s="502"/>
      <c r="AD324" s="502"/>
      <c r="AE324" s="502"/>
      <c r="AF324" s="1557">
        <v>11</v>
      </c>
    </row>
    <row r="325" spans="1:32" ht="11.25">
      <c r="A325" s="910"/>
      <c r="B325" s="1552"/>
      <c r="C325" s="1552"/>
      <c r="D325" s="287"/>
      <c r="K325" s="1076"/>
      <c r="L325" s="1552"/>
      <c r="M325" s="1552"/>
      <c r="N325" s="1076"/>
      <c r="O325" s="1076"/>
      <c r="P325" s="1076"/>
      <c r="Q325" s="1076"/>
      <c r="R325" s="1552"/>
      <c r="S325" s="1076"/>
      <c r="T325" s="1076"/>
      <c r="U325" s="480"/>
      <c r="V325" s="1076"/>
      <c r="W325" s="1076"/>
      <c r="X325" s="1076"/>
      <c r="Y325" s="1076"/>
      <c r="Z325" s="1076"/>
      <c r="AA325" s="1548"/>
      <c r="AB325" s="502"/>
      <c r="AC325" s="502"/>
      <c r="AD325" s="502"/>
      <c r="AE325" s="502"/>
      <c r="AF325" s="1557">
        <v>11</v>
      </c>
    </row>
    <row r="326" spans="1:32" ht="11.25">
      <c r="A326" s="910"/>
      <c r="B326" s="1552"/>
      <c r="C326" s="1552"/>
      <c r="D326" s="287"/>
      <c r="K326" s="1076"/>
      <c r="L326" s="1552"/>
      <c r="M326" s="1552"/>
      <c r="N326" s="1076"/>
      <c r="O326" s="1076"/>
      <c r="P326" s="1076"/>
      <c r="Q326" s="1076"/>
      <c r="R326" s="1552"/>
      <c r="S326" s="1076"/>
      <c r="T326" s="1076"/>
      <c r="U326" s="480"/>
      <c r="V326" s="1076"/>
      <c r="W326" s="1076"/>
      <c r="X326" s="1076"/>
      <c r="Y326" s="1076"/>
      <c r="Z326" s="1076"/>
      <c r="AA326" s="1548"/>
      <c r="AB326" s="502"/>
      <c r="AC326" s="502"/>
      <c r="AD326" s="502"/>
      <c r="AE326" s="502"/>
      <c r="AF326" s="1557">
        <v>11</v>
      </c>
    </row>
    <row r="327" spans="1:32" ht="11.25">
      <c r="A327" s="910"/>
      <c r="B327" s="1552"/>
      <c r="C327" s="1552"/>
      <c r="D327" s="287"/>
      <c r="K327" s="1076"/>
      <c r="L327" s="1552"/>
      <c r="M327" s="1552"/>
      <c r="N327" s="1076"/>
      <c r="O327" s="1076"/>
      <c r="P327" s="1076"/>
      <c r="Q327" s="1076"/>
      <c r="R327" s="1552"/>
      <c r="S327" s="1076"/>
      <c r="T327" s="1076"/>
      <c r="U327" s="480"/>
      <c r="V327" s="1076"/>
      <c r="W327" s="1076"/>
      <c r="X327" s="1076"/>
      <c r="Y327" s="1076"/>
      <c r="Z327" s="1076"/>
      <c r="AA327" s="1548"/>
      <c r="AB327" s="502"/>
      <c r="AC327" s="502"/>
      <c r="AD327" s="502"/>
      <c r="AE327" s="502"/>
      <c r="AF327" s="1557">
        <v>11</v>
      </c>
    </row>
    <row r="328" spans="1:32" ht="11.25">
      <c r="A328" s="910"/>
      <c r="B328" s="1552"/>
      <c r="C328" s="1552"/>
      <c r="D328" s="287"/>
      <c r="K328" s="1076"/>
      <c r="L328" s="1552"/>
      <c r="M328" s="1552"/>
      <c r="N328" s="1076"/>
      <c r="O328" s="1076"/>
      <c r="P328" s="1076"/>
      <c r="Q328" s="1076"/>
      <c r="R328" s="1552"/>
      <c r="S328" s="1076"/>
      <c r="T328" s="1076"/>
      <c r="U328" s="480"/>
      <c r="V328" s="1076"/>
      <c r="W328" s="1076"/>
      <c r="X328" s="1076"/>
      <c r="Y328" s="1076"/>
      <c r="Z328" s="1076"/>
      <c r="AA328" s="1548"/>
      <c r="AB328" s="502"/>
      <c r="AC328" s="502"/>
      <c r="AD328" s="502"/>
      <c r="AE328" s="502"/>
      <c r="AF328" s="1557">
        <v>11</v>
      </c>
    </row>
    <row r="329" spans="1:32" ht="11.25">
      <c r="A329" s="910"/>
      <c r="B329" s="1552"/>
      <c r="C329" s="1552"/>
      <c r="D329" s="287"/>
      <c r="K329" s="1076"/>
      <c r="L329" s="1552"/>
      <c r="M329" s="1552"/>
      <c r="N329" s="1076"/>
      <c r="O329" s="1076"/>
      <c r="P329" s="1076"/>
      <c r="Q329" s="1076"/>
      <c r="R329" s="1552"/>
      <c r="S329" s="1076"/>
      <c r="T329" s="1076"/>
      <c r="U329" s="480"/>
      <c r="V329" s="1076"/>
      <c r="W329" s="1076"/>
      <c r="X329" s="1076"/>
      <c r="Y329" s="1076"/>
      <c r="Z329" s="1076"/>
      <c r="AA329" s="1548"/>
      <c r="AB329" s="502"/>
      <c r="AC329" s="502"/>
      <c r="AD329" s="502"/>
      <c r="AE329" s="502"/>
      <c r="AF329" s="1557">
        <v>11</v>
      </c>
    </row>
    <row r="330" spans="1:32" ht="11.25">
      <c r="A330" s="910"/>
      <c r="B330" s="1552"/>
      <c r="C330" s="1552"/>
      <c r="D330" s="287"/>
      <c r="K330" s="1076"/>
      <c r="L330" s="1552"/>
      <c r="M330" s="1552"/>
      <c r="N330" s="1076"/>
      <c r="O330" s="1076"/>
      <c r="P330" s="1076"/>
      <c r="Q330" s="1076"/>
      <c r="R330" s="1552"/>
      <c r="S330" s="1076"/>
      <c r="T330" s="1076"/>
      <c r="U330" s="480"/>
      <c r="V330" s="1076"/>
      <c r="W330" s="1076"/>
      <c r="X330" s="1076"/>
      <c r="Y330" s="1076"/>
      <c r="Z330" s="1076"/>
      <c r="AA330" s="1548"/>
      <c r="AB330" s="502"/>
      <c r="AC330" s="502"/>
      <c r="AD330" s="502"/>
      <c r="AE330" s="502"/>
      <c r="AF330" s="1557">
        <v>11</v>
      </c>
    </row>
    <row r="331" spans="1:32" ht="11.25">
      <c r="A331" s="910"/>
      <c r="B331" s="1552"/>
      <c r="C331" s="1552"/>
      <c r="D331" s="287"/>
      <c r="K331" s="1076"/>
      <c r="L331" s="1552"/>
      <c r="M331" s="1552"/>
      <c r="N331" s="1076"/>
      <c r="O331" s="1076"/>
      <c r="P331" s="1076"/>
      <c r="Q331" s="1076"/>
      <c r="R331" s="1552"/>
      <c r="S331" s="1076"/>
      <c r="T331" s="1076"/>
      <c r="U331" s="480"/>
      <c r="V331" s="1076"/>
      <c r="W331" s="1076"/>
      <c r="X331" s="1076"/>
      <c r="Y331" s="1076"/>
      <c r="Z331" s="1076"/>
      <c r="AA331" s="1548"/>
      <c r="AB331" s="502"/>
      <c r="AC331" s="502"/>
      <c r="AD331" s="502"/>
      <c r="AE331" s="502"/>
      <c r="AF331" s="1557">
        <v>11</v>
      </c>
    </row>
    <row r="332" spans="1:32" ht="11.25">
      <c r="A332" s="910"/>
      <c r="B332" s="1552"/>
      <c r="C332" s="1552"/>
      <c r="D332" s="287"/>
      <c r="K332" s="1076"/>
      <c r="L332" s="1552"/>
      <c r="M332" s="1552"/>
      <c r="N332" s="1076"/>
      <c r="O332" s="1076"/>
      <c r="P332" s="1076"/>
      <c r="Q332" s="1076"/>
      <c r="R332" s="1552"/>
      <c r="S332" s="1076"/>
      <c r="T332" s="1076"/>
      <c r="U332" s="480"/>
      <c r="V332" s="1076"/>
      <c r="W332" s="1076"/>
      <c r="X332" s="1076"/>
      <c r="Y332" s="1076"/>
      <c r="Z332" s="1076"/>
      <c r="AA332" s="1548"/>
      <c r="AB332" s="502"/>
      <c r="AC332" s="502"/>
      <c r="AD332" s="502"/>
      <c r="AE332" s="502"/>
      <c r="AF332" s="1557">
        <v>11</v>
      </c>
    </row>
    <row r="333" spans="1:32" ht="11.25">
      <c r="A333" s="910"/>
      <c r="B333" s="1552"/>
      <c r="C333" s="1552"/>
      <c r="D333" s="287"/>
      <c r="K333" s="1076"/>
      <c r="L333" s="1552"/>
      <c r="M333" s="1552"/>
      <c r="N333" s="1076"/>
      <c r="O333" s="1076"/>
      <c r="P333" s="1076"/>
      <c r="Q333" s="1076"/>
      <c r="R333" s="1552"/>
      <c r="S333" s="1076"/>
      <c r="T333" s="1076"/>
      <c r="U333" s="480"/>
      <c r="V333" s="1076"/>
      <c r="W333" s="1076"/>
      <c r="X333" s="1076"/>
      <c r="Y333" s="1076"/>
      <c r="Z333" s="1076"/>
      <c r="AA333" s="1548"/>
      <c r="AB333" s="502"/>
      <c r="AC333" s="502"/>
      <c r="AD333" s="502"/>
      <c r="AE333" s="502"/>
      <c r="AF333" s="1557">
        <v>11</v>
      </c>
    </row>
    <row r="334" spans="1:32" ht="11.25">
      <c r="A334" s="910"/>
      <c r="B334" s="1552"/>
      <c r="C334" s="1552"/>
      <c r="D334" s="287"/>
      <c r="K334" s="1076"/>
      <c r="L334" s="1552"/>
      <c r="M334" s="1552"/>
      <c r="N334" s="1076"/>
      <c r="O334" s="1076"/>
      <c r="P334" s="1076"/>
      <c r="Q334" s="1076"/>
      <c r="R334" s="1552"/>
      <c r="S334" s="1076"/>
      <c r="T334" s="1076"/>
      <c r="U334" s="480"/>
      <c r="V334" s="1076"/>
      <c r="W334" s="1076"/>
      <c r="X334" s="1076"/>
      <c r="Y334" s="1076"/>
      <c r="Z334" s="1076"/>
      <c r="AA334" s="1548"/>
      <c r="AB334" s="502"/>
      <c r="AC334" s="502"/>
      <c r="AD334" s="502"/>
      <c r="AE334" s="502"/>
      <c r="AF334" s="1557">
        <v>11</v>
      </c>
    </row>
    <row r="335" spans="1:32" ht="11.25">
      <c r="A335" s="910"/>
      <c r="B335" s="1552"/>
      <c r="C335" s="1552"/>
      <c r="D335" s="287"/>
      <c r="K335" s="1076"/>
      <c r="L335" s="1552"/>
      <c r="M335" s="1552"/>
      <c r="N335" s="1076"/>
      <c r="O335" s="1076"/>
      <c r="P335" s="1076"/>
      <c r="Q335" s="1076"/>
      <c r="R335" s="1552"/>
      <c r="S335" s="1076"/>
      <c r="T335" s="1076"/>
      <c r="U335" s="480"/>
      <c r="V335" s="1076"/>
      <c r="W335" s="1076"/>
      <c r="X335" s="1076"/>
      <c r="Y335" s="1076"/>
      <c r="Z335" s="1076"/>
      <c r="AA335" s="1548"/>
      <c r="AB335" s="502"/>
      <c r="AC335" s="502"/>
      <c r="AD335" s="502"/>
      <c r="AE335" s="502"/>
      <c r="AF335" s="1557">
        <v>11</v>
      </c>
    </row>
    <row r="336" spans="1:32" ht="11.25">
      <c r="A336" s="910"/>
      <c r="B336" s="1552"/>
      <c r="C336" s="1552"/>
      <c r="D336" s="287"/>
      <c r="K336" s="1076"/>
      <c r="L336" s="1552"/>
      <c r="M336" s="1552"/>
      <c r="N336" s="1076"/>
      <c r="O336" s="1076"/>
      <c r="P336" s="1076"/>
      <c r="Q336" s="1076"/>
      <c r="R336" s="1552"/>
      <c r="S336" s="1076"/>
      <c r="T336" s="1076"/>
      <c r="U336" s="480"/>
      <c r="V336" s="1076"/>
      <c r="W336" s="1076"/>
      <c r="X336" s="1076"/>
      <c r="Y336" s="1076"/>
      <c r="Z336" s="1076"/>
      <c r="AA336" s="1548"/>
      <c r="AB336" s="502"/>
      <c r="AC336" s="502"/>
      <c r="AD336" s="502"/>
      <c r="AE336" s="502"/>
      <c r="AF336" s="1557">
        <v>11</v>
      </c>
    </row>
    <row r="337" spans="1:32" ht="11.25">
      <c r="A337" s="910"/>
      <c r="B337" s="1552"/>
      <c r="C337" s="1552"/>
      <c r="D337" s="287"/>
      <c r="K337" s="1076"/>
      <c r="L337" s="1552"/>
      <c r="M337" s="1552"/>
      <c r="N337" s="1076"/>
      <c r="O337" s="1076"/>
      <c r="P337" s="1076"/>
      <c r="Q337" s="1076"/>
      <c r="R337" s="1552"/>
      <c r="S337" s="1076"/>
      <c r="T337" s="1076"/>
      <c r="U337" s="480"/>
      <c r="V337" s="1076"/>
      <c r="W337" s="1076"/>
      <c r="X337" s="1076"/>
      <c r="Y337" s="1076"/>
      <c r="Z337" s="1076"/>
      <c r="AA337" s="1548"/>
      <c r="AB337" s="502"/>
      <c r="AC337" s="502"/>
      <c r="AD337" s="502"/>
      <c r="AE337" s="502"/>
      <c r="AF337" s="1557">
        <v>11</v>
      </c>
    </row>
    <row r="338" spans="1:32" ht="11.25">
      <c r="A338" s="910"/>
      <c r="B338" s="1552"/>
      <c r="C338" s="1552"/>
      <c r="D338" s="287"/>
      <c r="K338" s="1076"/>
      <c r="L338" s="1552"/>
      <c r="M338" s="1552"/>
      <c r="N338" s="1076"/>
      <c r="O338" s="1076"/>
      <c r="P338" s="1076"/>
      <c r="Q338" s="1076"/>
      <c r="R338" s="1552"/>
      <c r="S338" s="1076"/>
      <c r="T338" s="1076"/>
      <c r="U338" s="480"/>
      <c r="V338" s="1076"/>
      <c r="W338" s="1076"/>
      <c r="X338" s="1076"/>
      <c r="Y338" s="1076"/>
      <c r="Z338" s="1076"/>
      <c r="AA338" s="1548"/>
      <c r="AB338" s="502"/>
      <c r="AC338" s="502"/>
      <c r="AD338" s="502"/>
      <c r="AE338" s="502"/>
      <c r="AF338" s="1557">
        <v>11</v>
      </c>
    </row>
    <row r="339" spans="1:32" ht="11.25">
      <c r="A339" s="910"/>
      <c r="B339" s="1552"/>
      <c r="C339" s="1552"/>
      <c r="D339" s="287"/>
      <c r="K339" s="1076"/>
      <c r="L339" s="1552"/>
      <c r="M339" s="1552"/>
      <c r="N339" s="1076"/>
      <c r="O339" s="1076"/>
      <c r="P339" s="1076"/>
      <c r="Q339" s="1076"/>
      <c r="R339" s="1552"/>
      <c r="S339" s="1076"/>
      <c r="T339" s="1076"/>
      <c r="U339" s="480"/>
      <c r="V339" s="1076"/>
      <c r="W339" s="1076"/>
      <c r="X339" s="1076"/>
      <c r="Y339" s="1076"/>
      <c r="Z339" s="1076"/>
      <c r="AA339" s="1548"/>
      <c r="AB339" s="502"/>
      <c r="AC339" s="502"/>
      <c r="AD339" s="502"/>
      <c r="AE339" s="502"/>
      <c r="AF339" s="1557">
        <v>11</v>
      </c>
    </row>
    <row r="340" spans="1:32" ht="11.25">
      <c r="A340" s="910"/>
      <c r="B340" s="1552"/>
      <c r="C340" s="1552"/>
      <c r="D340" s="287"/>
      <c r="K340" s="1076"/>
      <c r="L340" s="1552"/>
      <c r="M340" s="1552"/>
      <c r="N340" s="1076"/>
      <c r="O340" s="1076"/>
      <c r="P340" s="1076"/>
      <c r="Q340" s="1076"/>
      <c r="R340" s="1552"/>
      <c r="S340" s="1076"/>
      <c r="T340" s="1076"/>
      <c r="U340" s="480"/>
      <c r="V340" s="1076"/>
      <c r="W340" s="1076"/>
      <c r="X340" s="1076"/>
      <c r="Y340" s="1076"/>
      <c r="Z340" s="1076"/>
      <c r="AA340" s="1548"/>
      <c r="AB340" s="502"/>
      <c r="AC340" s="502"/>
      <c r="AD340" s="502"/>
      <c r="AE340" s="502"/>
      <c r="AF340" s="1557">
        <v>11</v>
      </c>
    </row>
    <row r="341" spans="1:32" ht="11.25">
      <c r="A341" s="910"/>
      <c r="B341" s="1552"/>
      <c r="C341" s="1552"/>
      <c r="D341" s="287"/>
      <c r="K341" s="1076"/>
      <c r="L341" s="1552"/>
      <c r="M341" s="1552"/>
      <c r="N341" s="1076"/>
      <c r="O341" s="1076"/>
      <c r="P341" s="1076"/>
      <c r="Q341" s="1076"/>
      <c r="R341" s="1552"/>
      <c r="S341" s="1076"/>
      <c r="T341" s="1076"/>
      <c r="U341" s="480"/>
      <c r="V341" s="1076"/>
      <c r="W341" s="1076"/>
      <c r="X341" s="1076"/>
      <c r="Y341" s="1076"/>
      <c r="Z341" s="1076"/>
      <c r="AA341" s="1548"/>
      <c r="AB341" s="502"/>
      <c r="AC341" s="502"/>
      <c r="AD341" s="502"/>
      <c r="AE341" s="502"/>
      <c r="AF341" s="1557">
        <v>11</v>
      </c>
    </row>
    <row r="342" spans="1:32" ht="11.25">
      <c r="A342" s="910"/>
      <c r="B342" s="1552"/>
      <c r="C342" s="1552"/>
      <c r="D342" s="287"/>
      <c r="K342" s="1076"/>
      <c r="L342" s="1552"/>
      <c r="M342" s="1552"/>
      <c r="N342" s="1076"/>
      <c r="O342" s="1076"/>
      <c r="P342" s="1076"/>
      <c r="Q342" s="1076"/>
      <c r="R342" s="1552"/>
      <c r="S342" s="1076"/>
      <c r="T342" s="1076"/>
      <c r="U342" s="480"/>
      <c r="V342" s="1076"/>
      <c r="W342" s="1076"/>
      <c r="X342" s="1076"/>
      <c r="Y342" s="1076"/>
      <c r="Z342" s="1076"/>
      <c r="AA342" s="1548"/>
      <c r="AB342" s="502"/>
      <c r="AC342" s="502"/>
      <c r="AD342" s="502"/>
      <c r="AE342" s="502"/>
      <c r="AF342" s="1557">
        <v>11</v>
      </c>
    </row>
    <row r="343" spans="1:32" ht="11.25">
      <c r="A343" s="910"/>
      <c r="B343" s="1552"/>
      <c r="C343" s="1552"/>
      <c r="D343" s="287"/>
      <c r="K343" s="1076"/>
      <c r="L343" s="1552"/>
      <c r="M343" s="1552"/>
      <c r="N343" s="1076"/>
      <c r="O343" s="1076"/>
      <c r="P343" s="1076"/>
      <c r="Q343" s="1076"/>
      <c r="R343" s="1552"/>
      <c r="S343" s="1076"/>
      <c r="T343" s="1076"/>
      <c r="U343" s="480"/>
      <c r="V343" s="1076"/>
      <c r="W343" s="1076"/>
      <c r="X343" s="1076"/>
      <c r="Y343" s="1076"/>
      <c r="Z343" s="1076"/>
      <c r="AA343" s="1548"/>
      <c r="AB343" s="502"/>
      <c r="AC343" s="502"/>
      <c r="AD343" s="502"/>
      <c r="AE343" s="502"/>
      <c r="AF343" s="1557">
        <v>11</v>
      </c>
    </row>
    <row r="344" spans="1:32" ht="11.25">
      <c r="A344" s="910"/>
      <c r="B344" s="1552"/>
      <c r="C344" s="1552"/>
      <c r="D344" s="287"/>
      <c r="K344" s="1076"/>
      <c r="L344" s="1552"/>
      <c r="M344" s="1552"/>
      <c r="N344" s="1076"/>
      <c r="O344" s="1076"/>
      <c r="P344" s="1076"/>
      <c r="Q344" s="1076"/>
      <c r="R344" s="1552"/>
      <c r="S344" s="1076"/>
      <c r="T344" s="1076"/>
      <c r="U344" s="480"/>
      <c r="V344" s="1076"/>
      <c r="W344" s="1076"/>
      <c r="X344" s="1076"/>
      <c r="Y344" s="1076"/>
      <c r="Z344" s="1076"/>
      <c r="AA344" s="1548"/>
      <c r="AB344" s="502"/>
      <c r="AC344" s="502"/>
      <c r="AD344" s="502"/>
      <c r="AE344" s="502"/>
      <c r="AF344" s="1557">
        <v>11</v>
      </c>
    </row>
    <row r="345" spans="1:32" ht="11.25">
      <c r="A345" s="910"/>
      <c r="B345" s="1552"/>
      <c r="C345" s="1552"/>
      <c r="D345" s="287"/>
      <c r="K345" s="1076"/>
      <c r="L345" s="1552"/>
      <c r="M345" s="1552"/>
      <c r="N345" s="1076"/>
      <c r="O345" s="1076"/>
      <c r="P345" s="1076"/>
      <c r="Q345" s="1076"/>
      <c r="R345" s="1552"/>
      <c r="S345" s="1076"/>
      <c r="T345" s="1076"/>
      <c r="U345" s="480"/>
      <c r="V345" s="1076"/>
      <c r="W345" s="1076"/>
      <c r="X345" s="1076"/>
      <c r="Y345" s="1076"/>
      <c r="Z345" s="1076"/>
      <c r="AA345" s="1548"/>
      <c r="AB345" s="502"/>
      <c r="AC345" s="502"/>
      <c r="AD345" s="502"/>
      <c r="AE345" s="502"/>
      <c r="AF345" s="1557">
        <v>11</v>
      </c>
    </row>
    <row r="346" spans="1:32" ht="11.25">
      <c r="A346" s="910"/>
      <c r="B346" s="1552"/>
      <c r="C346" s="1552"/>
      <c r="D346" s="287"/>
      <c r="K346" s="1076"/>
      <c r="L346" s="1552"/>
      <c r="M346" s="1552"/>
      <c r="N346" s="1076"/>
      <c r="O346" s="1076"/>
      <c r="P346" s="1076"/>
      <c r="Q346" s="1076"/>
      <c r="R346" s="1552"/>
      <c r="S346" s="1076"/>
      <c r="T346" s="1076"/>
      <c r="U346" s="480"/>
      <c r="V346" s="1076"/>
      <c r="W346" s="1076"/>
      <c r="X346" s="1076"/>
      <c r="Y346" s="1076"/>
      <c r="Z346" s="1076"/>
      <c r="AA346" s="1548"/>
      <c r="AB346" s="502"/>
      <c r="AC346" s="502"/>
      <c r="AD346" s="502"/>
      <c r="AE346" s="502"/>
      <c r="AF346" s="1557">
        <v>11</v>
      </c>
    </row>
    <row r="347" spans="1:32" ht="11.25">
      <c r="A347" s="910"/>
      <c r="B347" s="1552"/>
      <c r="C347" s="1552"/>
      <c r="D347" s="287"/>
      <c r="K347" s="1076"/>
      <c r="L347" s="1552"/>
      <c r="M347" s="1552"/>
      <c r="N347" s="1076"/>
      <c r="O347" s="1076"/>
      <c r="P347" s="1076"/>
      <c r="Q347" s="1076"/>
      <c r="R347" s="1552"/>
      <c r="S347" s="1076"/>
      <c r="T347" s="1076"/>
      <c r="U347" s="480"/>
      <c r="V347" s="1076"/>
      <c r="W347" s="1076"/>
      <c r="X347" s="1076"/>
      <c r="Y347" s="1076"/>
      <c r="Z347" s="1076"/>
      <c r="AA347" s="1548"/>
      <c r="AB347" s="502"/>
      <c r="AC347" s="502"/>
      <c r="AD347" s="502"/>
      <c r="AE347" s="502"/>
      <c r="AF347" s="1557">
        <v>11</v>
      </c>
    </row>
    <row r="348" spans="1:32" ht="11.25">
      <c r="A348" s="910"/>
      <c r="B348" s="1552"/>
      <c r="C348" s="1552"/>
      <c r="D348" s="287"/>
      <c r="K348" s="1076"/>
      <c r="L348" s="1552"/>
      <c r="M348" s="1552"/>
      <c r="N348" s="1076"/>
      <c r="O348" s="1076"/>
      <c r="P348" s="1076"/>
      <c r="Q348" s="1076"/>
      <c r="R348" s="1552"/>
      <c r="S348" s="1076"/>
      <c r="T348" s="1076"/>
      <c r="U348" s="480"/>
      <c r="V348" s="1076"/>
      <c r="W348" s="1076"/>
      <c r="X348" s="1076"/>
      <c r="Y348" s="1076"/>
      <c r="Z348" s="1076"/>
      <c r="AA348" s="1548"/>
      <c r="AB348" s="502"/>
      <c r="AC348" s="502"/>
      <c r="AD348" s="502"/>
      <c r="AE348" s="502"/>
      <c r="AF348" s="1557">
        <v>11</v>
      </c>
    </row>
    <row r="349" spans="1:32" ht="11.25">
      <c r="A349" s="910"/>
      <c r="B349" s="1552"/>
      <c r="C349" s="1552"/>
      <c r="D349" s="287"/>
      <c r="K349" s="1076"/>
      <c r="L349" s="1552"/>
      <c r="M349" s="1552"/>
      <c r="N349" s="1076"/>
      <c r="O349" s="1076"/>
      <c r="P349" s="1076"/>
      <c r="Q349" s="1076"/>
      <c r="R349" s="1552"/>
      <c r="S349" s="1076"/>
      <c r="T349" s="1076"/>
      <c r="U349" s="480"/>
      <c r="V349" s="1076"/>
      <c r="W349" s="1076"/>
      <c r="X349" s="1076"/>
      <c r="Y349" s="1076"/>
      <c r="Z349" s="1076"/>
      <c r="AA349" s="1548"/>
      <c r="AB349" s="502"/>
      <c r="AC349" s="502"/>
      <c r="AD349" s="502"/>
      <c r="AE349" s="502"/>
      <c r="AF349" s="1557">
        <v>11</v>
      </c>
    </row>
    <row r="350" spans="1:32" ht="11.25">
      <c r="A350" s="910"/>
      <c r="B350" s="1552"/>
      <c r="C350" s="1552"/>
      <c r="D350" s="287"/>
      <c r="K350" s="1076"/>
      <c r="L350" s="1552"/>
      <c r="M350" s="1552"/>
      <c r="N350" s="1076"/>
      <c r="O350" s="1076"/>
      <c r="P350" s="1076"/>
      <c r="Q350" s="1076"/>
      <c r="R350" s="1552"/>
      <c r="S350" s="1076"/>
      <c r="T350" s="1076"/>
      <c r="U350" s="480"/>
      <c r="V350" s="1076"/>
      <c r="W350" s="1076"/>
      <c r="X350" s="1076"/>
      <c r="Y350" s="1076"/>
      <c r="Z350" s="1076"/>
      <c r="AA350" s="1548"/>
      <c r="AB350" s="502"/>
      <c r="AC350" s="502"/>
      <c r="AD350" s="502"/>
      <c r="AE350" s="502"/>
      <c r="AF350" s="1557">
        <v>11</v>
      </c>
    </row>
    <row r="351" spans="1:32" ht="11.25">
      <c r="A351" s="910"/>
      <c r="B351" s="1552"/>
      <c r="C351" s="1552"/>
      <c r="D351" s="287"/>
      <c r="K351" s="1076"/>
      <c r="L351" s="1552"/>
      <c r="M351" s="1552"/>
      <c r="N351" s="1076"/>
      <c r="O351" s="1076"/>
      <c r="P351" s="1076"/>
      <c r="Q351" s="1076"/>
      <c r="R351" s="1552"/>
      <c r="S351" s="1076"/>
      <c r="T351" s="1076"/>
      <c r="U351" s="480"/>
      <c r="V351" s="1076"/>
      <c r="W351" s="1076"/>
      <c r="X351" s="1076"/>
      <c r="Y351" s="1076"/>
      <c r="Z351" s="1076"/>
      <c r="AA351" s="1548"/>
      <c r="AB351" s="502"/>
      <c r="AC351" s="502"/>
      <c r="AD351" s="502"/>
      <c r="AE351" s="502"/>
      <c r="AF351" s="1557">
        <v>11</v>
      </c>
    </row>
    <row r="352" spans="1:32" ht="11.25">
      <c r="A352" s="910"/>
      <c r="B352" s="1552"/>
      <c r="C352" s="1552"/>
      <c r="D352" s="287"/>
      <c r="K352" s="1076"/>
      <c r="L352" s="1552"/>
      <c r="M352" s="1552"/>
      <c r="N352" s="1076"/>
      <c r="O352" s="1076"/>
      <c r="P352" s="1076"/>
      <c r="Q352" s="1076"/>
      <c r="R352" s="1552"/>
      <c r="S352" s="1076"/>
      <c r="T352" s="1076"/>
      <c r="U352" s="480"/>
      <c r="V352" s="1076"/>
      <c r="W352" s="1076"/>
      <c r="X352" s="1076"/>
      <c r="Y352" s="1076"/>
      <c r="Z352" s="1076"/>
      <c r="AA352" s="1548"/>
      <c r="AB352" s="502"/>
      <c r="AC352" s="502"/>
      <c r="AD352" s="502"/>
      <c r="AE352" s="502"/>
      <c r="AF352" s="1557">
        <v>11</v>
      </c>
    </row>
    <row r="353" spans="1:32" ht="11.25">
      <c r="A353" s="910"/>
      <c r="B353" s="1552"/>
      <c r="C353" s="1552"/>
      <c r="D353" s="287"/>
      <c r="K353" s="1076"/>
      <c r="L353" s="1552"/>
      <c r="M353" s="1552"/>
      <c r="N353" s="1076"/>
      <c r="O353" s="1076"/>
      <c r="P353" s="1076"/>
      <c r="Q353" s="1076"/>
      <c r="R353" s="1552"/>
      <c r="S353" s="1076"/>
      <c r="T353" s="1076"/>
      <c r="U353" s="480"/>
      <c r="V353" s="1076"/>
      <c r="W353" s="1076"/>
      <c r="X353" s="1076"/>
      <c r="Y353" s="1076"/>
      <c r="Z353" s="1076"/>
      <c r="AA353" s="1548"/>
      <c r="AB353" s="502"/>
      <c r="AC353" s="502"/>
      <c r="AD353" s="502"/>
      <c r="AE353" s="502"/>
      <c r="AF353" s="1557">
        <v>11</v>
      </c>
    </row>
    <row r="354" spans="1:32" ht="11.25">
      <c r="A354" s="910"/>
      <c r="B354" s="1552"/>
      <c r="C354" s="1552"/>
      <c r="D354" s="287"/>
      <c r="K354" s="1076"/>
      <c r="L354" s="1552"/>
      <c r="M354" s="1552"/>
      <c r="N354" s="1076"/>
      <c r="O354" s="1076"/>
      <c r="P354" s="1076"/>
      <c r="Q354" s="1076"/>
      <c r="R354" s="1552"/>
      <c r="S354" s="1076"/>
      <c r="T354" s="1076"/>
      <c r="U354" s="480"/>
      <c r="V354" s="1076"/>
      <c r="W354" s="1076"/>
      <c r="X354" s="1076"/>
      <c r="Y354" s="1076"/>
      <c r="Z354" s="1076"/>
      <c r="AA354" s="1548"/>
      <c r="AB354" s="502"/>
      <c r="AC354" s="502"/>
      <c r="AD354" s="502"/>
      <c r="AE354" s="502"/>
      <c r="AF354" s="1557">
        <v>11</v>
      </c>
    </row>
    <row r="355" spans="1:32" ht="11.25">
      <c r="A355" s="910"/>
      <c r="B355" s="1552"/>
      <c r="C355" s="1552"/>
      <c r="D355" s="287"/>
      <c r="K355" s="1076"/>
      <c r="L355" s="1552"/>
      <c r="M355" s="1552"/>
      <c r="N355" s="1076"/>
      <c r="O355" s="1076"/>
      <c r="P355" s="1076"/>
      <c r="Q355" s="1076"/>
      <c r="R355" s="1552"/>
      <c r="S355" s="1076"/>
      <c r="T355" s="1076"/>
      <c r="U355" s="480"/>
      <c r="V355" s="1076"/>
      <c r="W355" s="1076"/>
      <c r="X355" s="1076"/>
      <c r="Y355" s="1076"/>
      <c r="Z355" s="1076"/>
      <c r="AA355" s="1548"/>
      <c r="AB355" s="502"/>
      <c r="AC355" s="502"/>
      <c r="AD355" s="502"/>
      <c r="AE355" s="502"/>
      <c r="AF355" s="1557">
        <v>11</v>
      </c>
    </row>
    <row r="356" spans="1:32" ht="11.25">
      <c r="A356" s="910"/>
      <c r="B356" s="1552"/>
      <c r="C356" s="1552"/>
      <c r="D356" s="287"/>
      <c r="K356" s="1076"/>
      <c r="L356" s="1552"/>
      <c r="M356" s="1552"/>
      <c r="N356" s="1076"/>
      <c r="O356" s="1076"/>
      <c r="P356" s="1076"/>
      <c r="Q356" s="1076"/>
      <c r="R356" s="1552"/>
      <c r="S356" s="1076"/>
      <c r="T356" s="1076"/>
      <c r="U356" s="480"/>
      <c r="V356" s="1076"/>
      <c r="W356" s="1076"/>
      <c r="X356" s="1076"/>
      <c r="Y356" s="1076"/>
      <c r="Z356" s="1076"/>
      <c r="AA356" s="1548"/>
      <c r="AB356" s="502"/>
      <c r="AC356" s="502"/>
      <c r="AD356" s="502"/>
      <c r="AE356" s="502"/>
      <c r="AF356" s="1557">
        <v>11</v>
      </c>
    </row>
    <row r="357" spans="1:32" ht="11.25">
      <c r="A357" s="910"/>
      <c r="B357" s="1552"/>
      <c r="C357" s="1552"/>
      <c r="D357" s="287"/>
      <c r="K357" s="1076"/>
      <c r="L357" s="1552"/>
      <c r="M357" s="1552"/>
      <c r="N357" s="1076"/>
      <c r="O357" s="1076"/>
      <c r="P357" s="1076"/>
      <c r="Q357" s="1076"/>
      <c r="R357" s="1552"/>
      <c r="S357" s="1076"/>
      <c r="T357" s="1076"/>
      <c r="U357" s="480"/>
      <c r="V357" s="1076"/>
      <c r="W357" s="1076"/>
      <c r="X357" s="1076"/>
      <c r="Y357" s="1076"/>
      <c r="Z357" s="1076"/>
      <c r="AA357" s="1548"/>
      <c r="AB357" s="502"/>
      <c r="AC357" s="502"/>
      <c r="AD357" s="502"/>
      <c r="AE357" s="502"/>
      <c r="AF357" s="1557">
        <v>11</v>
      </c>
    </row>
    <row r="358" spans="1:32" ht="11.25">
      <c r="A358" s="910"/>
      <c r="B358" s="1552"/>
      <c r="C358" s="1552"/>
      <c r="D358" s="287"/>
      <c r="K358" s="1076"/>
      <c r="L358" s="1552"/>
      <c r="M358" s="1552"/>
      <c r="N358" s="1076"/>
      <c r="O358" s="1076"/>
      <c r="P358" s="1076"/>
      <c r="Q358" s="1076"/>
      <c r="R358" s="1552"/>
      <c r="S358" s="1076"/>
      <c r="T358" s="1076"/>
      <c r="U358" s="480"/>
      <c r="V358" s="1076"/>
      <c r="W358" s="1076"/>
      <c r="X358" s="1076"/>
      <c r="Y358" s="1076"/>
      <c r="Z358" s="1076"/>
      <c r="AA358" s="1548"/>
      <c r="AB358" s="502"/>
      <c r="AC358" s="502"/>
      <c r="AD358" s="502"/>
      <c r="AE358" s="502"/>
      <c r="AF358" s="1557">
        <v>11</v>
      </c>
    </row>
    <row r="359" spans="1:32" ht="11.25">
      <c r="A359" s="910"/>
      <c r="B359" s="1552"/>
      <c r="C359" s="1552"/>
      <c r="D359" s="287"/>
      <c r="K359" s="1076"/>
      <c r="L359" s="1552"/>
      <c r="M359" s="1552"/>
      <c r="N359" s="1076"/>
      <c r="O359" s="1076"/>
      <c r="P359" s="1076"/>
      <c r="Q359" s="1076"/>
      <c r="R359" s="1552"/>
      <c r="S359" s="1076"/>
      <c r="T359" s="1076"/>
      <c r="U359" s="480"/>
      <c r="V359" s="1076"/>
      <c r="W359" s="1076"/>
      <c r="X359" s="1076"/>
      <c r="Y359" s="1076"/>
      <c r="Z359" s="1076"/>
      <c r="AA359" s="1548"/>
      <c r="AB359" s="502"/>
      <c r="AC359" s="502"/>
      <c r="AD359" s="502"/>
      <c r="AE359" s="502"/>
      <c r="AF359" s="1557">
        <v>11</v>
      </c>
    </row>
    <row r="360" spans="1:32" ht="11.25">
      <c r="A360" s="910"/>
      <c r="B360" s="1552"/>
      <c r="C360" s="1552"/>
      <c r="D360" s="287"/>
      <c r="K360" s="1076"/>
      <c r="L360" s="1552"/>
      <c r="M360" s="1552"/>
      <c r="N360" s="1076"/>
      <c r="O360" s="1076"/>
      <c r="P360" s="1076"/>
      <c r="Q360" s="1076"/>
      <c r="R360" s="1552"/>
      <c r="S360" s="1076"/>
      <c r="T360" s="1076"/>
      <c r="U360" s="480"/>
      <c r="V360" s="1076"/>
      <c r="W360" s="1076"/>
      <c r="X360" s="1076"/>
      <c r="Y360" s="1076"/>
      <c r="Z360" s="1076"/>
      <c r="AA360" s="1548"/>
      <c r="AB360" s="502"/>
      <c r="AC360" s="502"/>
      <c r="AD360" s="502"/>
      <c r="AE360" s="502"/>
      <c r="AF360" s="1557">
        <v>11</v>
      </c>
    </row>
    <row r="361" spans="1:32" ht="11.25">
      <c r="A361" s="910"/>
      <c r="B361" s="1552"/>
      <c r="C361" s="1552"/>
      <c r="D361" s="287"/>
      <c r="K361" s="1076"/>
      <c r="L361" s="1552"/>
      <c r="M361" s="1552"/>
      <c r="N361" s="1076"/>
      <c r="O361" s="1076"/>
      <c r="P361" s="1076"/>
      <c r="Q361" s="1076"/>
      <c r="R361" s="1552"/>
      <c r="S361" s="1076"/>
      <c r="T361" s="1076"/>
      <c r="U361" s="480"/>
      <c r="V361" s="1076"/>
      <c r="W361" s="1076"/>
      <c r="X361" s="1076"/>
      <c r="Y361" s="1076"/>
      <c r="Z361" s="1076"/>
      <c r="AA361" s="1548"/>
      <c r="AB361" s="502"/>
      <c r="AC361" s="502"/>
      <c r="AD361" s="502"/>
      <c r="AE361" s="502"/>
      <c r="AF361" s="1557">
        <v>11</v>
      </c>
    </row>
    <row r="362" spans="1:32" ht="11.25">
      <c r="A362" s="910"/>
      <c r="B362" s="1552"/>
      <c r="C362" s="1552"/>
      <c r="D362" s="287"/>
      <c r="K362" s="1076"/>
      <c r="L362" s="1552"/>
      <c r="M362" s="1552"/>
      <c r="N362" s="1076"/>
      <c r="O362" s="1076"/>
      <c r="P362" s="1076"/>
      <c r="Q362" s="1076"/>
      <c r="R362" s="1552"/>
      <c r="S362" s="1076"/>
      <c r="T362" s="1076"/>
      <c r="U362" s="480"/>
      <c r="V362" s="1076"/>
      <c r="W362" s="1076"/>
      <c r="X362" s="1076"/>
      <c r="Y362" s="1076"/>
      <c r="Z362" s="1076"/>
      <c r="AA362" s="1548"/>
      <c r="AB362" s="502"/>
      <c r="AC362" s="502"/>
      <c r="AD362" s="502"/>
      <c r="AE362" s="502"/>
      <c r="AF362" s="1557">
        <v>11</v>
      </c>
    </row>
    <row r="363" spans="1:32" ht="11.25">
      <c r="A363" s="910"/>
      <c r="B363" s="1552"/>
      <c r="C363" s="1552"/>
      <c r="D363" s="287"/>
      <c r="K363" s="1076"/>
      <c r="L363" s="1552"/>
      <c r="M363" s="1552"/>
      <c r="N363" s="1076"/>
      <c r="O363" s="1076"/>
      <c r="P363" s="1076"/>
      <c r="Q363" s="1076"/>
      <c r="R363" s="1552"/>
      <c r="S363" s="1076"/>
      <c r="T363" s="1076"/>
      <c r="U363" s="480"/>
      <c r="V363" s="1076"/>
      <c r="W363" s="1076"/>
      <c r="X363" s="1076"/>
      <c r="Y363" s="1076"/>
      <c r="Z363" s="1076"/>
      <c r="AA363" s="1548"/>
      <c r="AB363" s="502"/>
      <c r="AC363" s="502"/>
      <c r="AD363" s="502"/>
      <c r="AE363" s="502"/>
      <c r="AF363" s="1557">
        <v>11</v>
      </c>
    </row>
    <row r="364" spans="1:32" ht="11.25">
      <c r="A364" s="910"/>
      <c r="B364" s="1552"/>
      <c r="C364" s="1552"/>
      <c r="D364" s="287"/>
      <c r="K364" s="1076"/>
      <c r="L364" s="1552"/>
      <c r="M364" s="1552"/>
      <c r="N364" s="1076"/>
      <c r="O364" s="1076"/>
      <c r="P364" s="1076"/>
      <c r="Q364" s="1076"/>
      <c r="R364" s="1552"/>
      <c r="S364" s="1076"/>
      <c r="T364" s="1076"/>
      <c r="U364" s="480"/>
      <c r="V364" s="1076"/>
      <c r="W364" s="1076"/>
      <c r="X364" s="1076"/>
      <c r="Y364" s="1076"/>
      <c r="Z364" s="1076"/>
      <c r="AA364" s="1548"/>
      <c r="AB364" s="502"/>
      <c r="AC364" s="502"/>
      <c r="AD364" s="502"/>
      <c r="AE364" s="502"/>
      <c r="AF364" s="1557">
        <v>11</v>
      </c>
    </row>
    <row r="365" spans="1:32" ht="11.25">
      <c r="A365" s="910"/>
      <c r="B365" s="1552"/>
      <c r="C365" s="1552"/>
      <c r="D365" s="287"/>
      <c r="K365" s="1076"/>
      <c r="L365" s="1552"/>
      <c r="M365" s="1552"/>
      <c r="N365" s="1076"/>
      <c r="O365" s="1076"/>
      <c r="P365" s="1076"/>
      <c r="Q365" s="1076"/>
      <c r="R365" s="1552"/>
      <c r="S365" s="1076"/>
      <c r="T365" s="1076"/>
      <c r="U365" s="480"/>
      <c r="V365" s="1076"/>
      <c r="W365" s="1076"/>
      <c r="X365" s="1076"/>
      <c r="Y365" s="1076"/>
      <c r="Z365" s="1076"/>
      <c r="AA365" s="1548"/>
      <c r="AB365" s="502"/>
      <c r="AC365" s="502"/>
      <c r="AD365" s="502"/>
      <c r="AE365" s="502"/>
      <c r="AF365" s="1557">
        <v>11</v>
      </c>
    </row>
    <row r="366" spans="1:32" ht="11.25">
      <c r="A366" s="910"/>
      <c r="B366" s="1552"/>
      <c r="C366" s="1552"/>
      <c r="D366" s="287"/>
      <c r="K366" s="1076"/>
      <c r="L366" s="1552"/>
      <c r="M366" s="1552"/>
      <c r="N366" s="1076"/>
      <c r="O366" s="1076"/>
      <c r="P366" s="1076"/>
      <c r="Q366" s="1076"/>
      <c r="R366" s="1552"/>
      <c r="S366" s="1076"/>
      <c r="T366" s="1076"/>
      <c r="U366" s="480"/>
      <c r="V366" s="1076"/>
      <c r="W366" s="1076"/>
      <c r="X366" s="1076"/>
      <c r="Y366" s="1076"/>
      <c r="Z366" s="1076"/>
      <c r="AA366" s="1548"/>
      <c r="AB366" s="502"/>
      <c r="AC366" s="502"/>
      <c r="AD366" s="502"/>
      <c r="AE366" s="502"/>
      <c r="AF366" s="1557">
        <v>11</v>
      </c>
    </row>
    <row r="367" spans="1:32" ht="11.25">
      <c r="A367" s="910"/>
      <c r="B367" s="1552"/>
      <c r="C367" s="1552"/>
      <c r="D367" s="287"/>
      <c r="K367" s="1076"/>
      <c r="L367" s="1552"/>
      <c r="M367" s="1552"/>
      <c r="N367" s="1076"/>
      <c r="O367" s="1076"/>
      <c r="P367" s="1076"/>
      <c r="Q367" s="1076"/>
      <c r="R367" s="1552"/>
      <c r="S367" s="1076"/>
      <c r="T367" s="1076"/>
      <c r="U367" s="480"/>
      <c r="V367" s="1076"/>
      <c r="W367" s="1076"/>
      <c r="X367" s="1076"/>
      <c r="Y367" s="1076"/>
      <c r="Z367" s="1076"/>
      <c r="AA367" s="1548"/>
      <c r="AB367" s="502"/>
      <c r="AC367" s="502"/>
      <c r="AD367" s="502"/>
      <c r="AE367" s="502"/>
      <c r="AF367" s="1557">
        <v>11</v>
      </c>
    </row>
    <row r="368" spans="1:32" ht="11.25">
      <c r="A368" s="910"/>
      <c r="B368" s="1552"/>
      <c r="C368" s="1552"/>
      <c r="D368" s="287"/>
      <c r="K368" s="1076"/>
      <c r="L368" s="1552"/>
      <c r="M368" s="1552"/>
      <c r="N368" s="1076"/>
      <c r="O368" s="1076"/>
      <c r="P368" s="1076"/>
      <c r="Q368" s="1076"/>
      <c r="R368" s="1552"/>
      <c r="S368" s="1076"/>
      <c r="T368" s="1076"/>
      <c r="U368" s="480"/>
      <c r="V368" s="1076"/>
      <c r="W368" s="1076"/>
      <c r="X368" s="1076"/>
      <c r="Y368" s="1076"/>
      <c r="Z368" s="1076"/>
      <c r="AA368" s="1548"/>
      <c r="AB368" s="502"/>
      <c r="AC368" s="502"/>
      <c r="AD368" s="502"/>
      <c r="AE368" s="502"/>
      <c r="AF368" s="1557">
        <v>11</v>
      </c>
    </row>
    <row r="369" spans="1:32" ht="11.25">
      <c r="A369" s="910"/>
      <c r="B369" s="1552"/>
      <c r="C369" s="1552"/>
      <c r="D369" s="287"/>
      <c r="K369" s="1076"/>
      <c r="L369" s="1552"/>
      <c r="M369" s="1552"/>
      <c r="N369" s="1076"/>
      <c r="O369" s="1076"/>
      <c r="P369" s="1076"/>
      <c r="Q369" s="1076"/>
      <c r="R369" s="1552"/>
      <c r="S369" s="1076"/>
      <c r="T369" s="1076"/>
      <c r="U369" s="480"/>
      <c r="V369" s="1076"/>
      <c r="W369" s="1076"/>
      <c r="X369" s="1076"/>
      <c r="Y369" s="1076"/>
      <c r="Z369" s="1076"/>
      <c r="AA369" s="1548"/>
      <c r="AB369" s="502"/>
      <c r="AC369" s="502"/>
      <c r="AD369" s="502"/>
      <c r="AE369" s="502"/>
      <c r="AF369" s="1557">
        <v>11</v>
      </c>
    </row>
    <row r="370" spans="1:32" ht="11.25">
      <c r="A370" s="910"/>
      <c r="B370" s="1552"/>
      <c r="C370" s="1552"/>
      <c r="D370" s="287"/>
      <c r="K370" s="1076"/>
      <c r="L370" s="1552"/>
      <c r="M370" s="1552"/>
      <c r="N370" s="1076"/>
      <c r="O370" s="1076"/>
      <c r="P370" s="1076"/>
      <c r="Q370" s="1076"/>
      <c r="R370" s="1552"/>
      <c r="S370" s="1076"/>
      <c r="T370" s="1076"/>
      <c r="U370" s="480"/>
      <c r="V370" s="1076"/>
      <c r="W370" s="1076"/>
      <c r="X370" s="1076"/>
      <c r="Y370" s="1076"/>
      <c r="Z370" s="1076"/>
      <c r="AA370" s="1548"/>
      <c r="AB370" s="502"/>
      <c r="AC370" s="502"/>
      <c r="AD370" s="502"/>
      <c r="AE370" s="502"/>
      <c r="AF370" s="1557">
        <v>11</v>
      </c>
    </row>
    <row r="371" spans="1:32" ht="11.25">
      <c r="A371" s="910"/>
      <c r="B371" s="1552"/>
      <c r="C371" s="1552"/>
      <c r="D371" s="287"/>
      <c r="K371" s="1076"/>
      <c r="L371" s="1552"/>
      <c r="M371" s="1552"/>
      <c r="N371" s="1076"/>
      <c r="O371" s="1076"/>
      <c r="P371" s="1076"/>
      <c r="Q371" s="1076"/>
      <c r="R371" s="1552"/>
      <c r="S371" s="1076"/>
      <c r="T371" s="1076"/>
      <c r="U371" s="480"/>
      <c r="V371" s="1076"/>
      <c r="W371" s="1076"/>
      <c r="X371" s="1076"/>
      <c r="Y371" s="1076"/>
      <c r="Z371" s="1076"/>
      <c r="AA371" s="1548"/>
      <c r="AB371" s="502"/>
      <c r="AC371" s="502"/>
      <c r="AD371" s="502"/>
      <c r="AE371" s="502"/>
      <c r="AF371" s="1557">
        <v>11</v>
      </c>
    </row>
    <row r="372" spans="1:32" ht="11.25">
      <c r="A372" s="910"/>
      <c r="B372" s="1552"/>
      <c r="C372" s="1552"/>
      <c r="D372" s="287"/>
      <c r="K372" s="1076"/>
      <c r="L372" s="1552"/>
      <c r="M372" s="1552"/>
      <c r="N372" s="1076"/>
      <c r="O372" s="1076"/>
      <c r="P372" s="1076"/>
      <c r="Q372" s="1076"/>
      <c r="R372" s="1552"/>
      <c r="S372" s="1076"/>
      <c r="T372" s="1076"/>
      <c r="U372" s="480"/>
      <c r="V372" s="1076"/>
      <c r="W372" s="1076"/>
      <c r="X372" s="1076"/>
      <c r="Y372" s="1076"/>
      <c r="Z372" s="1076"/>
      <c r="AA372" s="1548"/>
      <c r="AB372" s="502"/>
      <c r="AC372" s="502"/>
      <c r="AD372" s="502"/>
      <c r="AE372" s="502"/>
      <c r="AF372" s="1557">
        <v>11</v>
      </c>
    </row>
    <row r="373" spans="1:32" ht="11.25">
      <c r="A373" s="910"/>
      <c r="B373" s="1552"/>
      <c r="C373" s="1552"/>
      <c r="D373" s="287"/>
      <c r="K373" s="1076"/>
      <c r="L373" s="1552"/>
      <c r="M373" s="1552"/>
      <c r="N373" s="1076"/>
      <c r="O373" s="1076"/>
      <c r="P373" s="1076"/>
      <c r="Q373" s="1076"/>
      <c r="R373" s="1552"/>
      <c r="S373" s="1076"/>
      <c r="T373" s="1076"/>
      <c r="U373" s="480"/>
      <c r="V373" s="1076"/>
      <c r="W373" s="1076"/>
      <c r="X373" s="1076"/>
      <c r="Y373" s="1076"/>
      <c r="Z373" s="1076"/>
      <c r="AA373" s="1548"/>
      <c r="AB373" s="502"/>
      <c r="AC373" s="502"/>
      <c r="AD373" s="502"/>
      <c r="AE373" s="502"/>
      <c r="AF373" s="1557">
        <v>11</v>
      </c>
    </row>
    <row r="374" spans="1:32" ht="11.25">
      <c r="A374" s="910"/>
      <c r="B374" s="1552"/>
      <c r="C374" s="1552"/>
      <c r="D374" s="287"/>
      <c r="K374" s="1076"/>
      <c r="L374" s="1552"/>
      <c r="M374" s="1552"/>
      <c r="N374" s="1076"/>
      <c r="O374" s="1076"/>
      <c r="P374" s="1076"/>
      <c r="Q374" s="1076"/>
      <c r="R374" s="1552"/>
      <c r="S374" s="1076"/>
      <c r="T374" s="1076"/>
      <c r="U374" s="480"/>
      <c r="V374" s="1076"/>
      <c r="W374" s="1076"/>
      <c r="X374" s="1076"/>
      <c r="Y374" s="1076"/>
      <c r="Z374" s="1076"/>
      <c r="AA374" s="1548"/>
      <c r="AB374" s="502"/>
      <c r="AC374" s="502"/>
      <c r="AD374" s="502"/>
      <c r="AE374" s="502"/>
      <c r="AF374" s="1557">
        <v>11</v>
      </c>
    </row>
    <row r="375" spans="1:32" ht="11.25">
      <c r="A375" s="910"/>
      <c r="B375" s="1552"/>
      <c r="C375" s="1552"/>
      <c r="D375" s="287"/>
      <c r="K375" s="1076"/>
      <c r="L375" s="1552"/>
      <c r="M375" s="1552"/>
      <c r="N375" s="1076"/>
      <c r="O375" s="1076"/>
      <c r="P375" s="1076"/>
      <c r="Q375" s="1076"/>
      <c r="R375" s="1552"/>
      <c r="S375" s="1076"/>
      <c r="T375" s="1076"/>
      <c r="U375" s="480"/>
      <c r="V375" s="1076"/>
      <c r="W375" s="1076"/>
      <c r="X375" s="1076"/>
      <c r="Y375" s="1076"/>
      <c r="Z375" s="1076"/>
      <c r="AA375" s="1548"/>
      <c r="AB375" s="502"/>
      <c r="AC375" s="502"/>
      <c r="AD375" s="502"/>
      <c r="AE375" s="502"/>
      <c r="AF375" s="1557">
        <v>11</v>
      </c>
    </row>
    <row r="376" spans="1:32" ht="11.25">
      <c r="A376" s="910"/>
      <c r="B376" s="1552"/>
      <c r="C376" s="1552"/>
      <c r="D376" s="287"/>
      <c r="K376" s="1076"/>
      <c r="L376" s="1552"/>
      <c r="M376" s="1552"/>
      <c r="N376" s="1076"/>
      <c r="O376" s="1076"/>
      <c r="P376" s="1076"/>
      <c r="Q376" s="1076"/>
      <c r="R376" s="1552"/>
      <c r="S376" s="1076"/>
      <c r="T376" s="1076"/>
      <c r="U376" s="480"/>
      <c r="V376" s="1076"/>
      <c r="W376" s="1076"/>
      <c r="X376" s="1076"/>
      <c r="Y376" s="1076"/>
      <c r="Z376" s="1076"/>
      <c r="AA376" s="1548"/>
      <c r="AB376" s="502"/>
      <c r="AC376" s="502"/>
      <c r="AD376" s="502"/>
      <c r="AE376" s="502"/>
      <c r="AF376" s="1557">
        <v>11</v>
      </c>
    </row>
    <row r="377" spans="1:32" ht="11.25">
      <c r="A377" s="910"/>
      <c r="B377" s="1552"/>
      <c r="C377" s="1552"/>
      <c r="D377" s="287"/>
      <c r="K377" s="1076"/>
      <c r="L377" s="1552"/>
      <c r="M377" s="1552"/>
      <c r="N377" s="1076"/>
      <c r="O377" s="1076"/>
      <c r="P377" s="1076"/>
      <c r="Q377" s="1076"/>
      <c r="R377" s="1552"/>
      <c r="S377" s="1076"/>
      <c r="T377" s="1076"/>
      <c r="U377" s="480"/>
      <c r="V377" s="1076"/>
      <c r="W377" s="1076"/>
      <c r="X377" s="1076"/>
      <c r="Y377" s="1076"/>
      <c r="Z377" s="1076"/>
      <c r="AA377" s="1548"/>
      <c r="AB377" s="502"/>
      <c r="AC377" s="502"/>
      <c r="AD377" s="502"/>
      <c r="AE377" s="502"/>
      <c r="AF377" s="1557">
        <v>11</v>
      </c>
    </row>
    <row r="378" spans="1:32" ht="11.25">
      <c r="A378" s="910"/>
      <c r="B378" s="1552"/>
      <c r="C378" s="1552"/>
      <c r="D378" s="287"/>
      <c r="K378" s="1076"/>
      <c r="L378" s="1552"/>
      <c r="M378" s="1552"/>
      <c r="N378" s="1076"/>
      <c r="O378" s="1076"/>
      <c r="P378" s="1076"/>
      <c r="Q378" s="1076"/>
      <c r="R378" s="1552"/>
      <c r="S378" s="1076"/>
      <c r="T378" s="1076"/>
      <c r="U378" s="480"/>
      <c r="V378" s="1076"/>
      <c r="W378" s="1076"/>
      <c r="X378" s="1076"/>
      <c r="Y378" s="1076"/>
      <c r="Z378" s="1076"/>
      <c r="AA378" s="1548"/>
      <c r="AB378" s="502"/>
      <c r="AC378" s="502"/>
      <c r="AD378" s="502"/>
      <c r="AE378" s="502"/>
      <c r="AF378" s="1557">
        <v>11</v>
      </c>
    </row>
    <row r="379" spans="1:32" ht="11.25">
      <c r="A379" s="910"/>
      <c r="B379" s="1552"/>
      <c r="C379" s="1552"/>
      <c r="D379" s="287"/>
      <c r="K379" s="1076"/>
      <c r="L379" s="1552"/>
      <c r="M379" s="1552"/>
      <c r="N379" s="1076"/>
      <c r="O379" s="1076"/>
      <c r="P379" s="1076"/>
      <c r="Q379" s="1076"/>
      <c r="R379" s="1552"/>
      <c r="S379" s="1076"/>
      <c r="T379" s="1076"/>
      <c r="U379" s="480"/>
      <c r="V379" s="1076"/>
      <c r="W379" s="1076"/>
      <c r="X379" s="1076"/>
      <c r="Y379" s="1076"/>
      <c r="Z379" s="1076"/>
      <c r="AA379" s="1548"/>
      <c r="AB379" s="502"/>
      <c r="AC379" s="502"/>
      <c r="AD379" s="502"/>
      <c r="AE379" s="502"/>
      <c r="AF379" s="1557">
        <v>11</v>
      </c>
    </row>
    <row r="380" spans="1:32" ht="11.25">
      <c r="A380" s="910"/>
      <c r="B380" s="1552"/>
      <c r="C380" s="1552"/>
      <c r="D380" s="287"/>
      <c r="K380" s="1076"/>
      <c r="L380" s="1552"/>
      <c r="M380" s="1552"/>
      <c r="N380" s="1076"/>
      <c r="O380" s="1076"/>
      <c r="P380" s="1076"/>
      <c r="Q380" s="1076"/>
      <c r="R380" s="1552"/>
      <c r="S380" s="1076"/>
      <c r="T380" s="1076"/>
      <c r="U380" s="480"/>
      <c r="V380" s="1076"/>
      <c r="W380" s="1076"/>
      <c r="X380" s="1076"/>
      <c r="Y380" s="1076"/>
      <c r="Z380" s="1076"/>
      <c r="AA380" s="1548"/>
      <c r="AB380" s="502"/>
      <c r="AC380" s="502"/>
      <c r="AD380" s="502"/>
      <c r="AE380" s="502"/>
      <c r="AF380" s="1557">
        <v>11</v>
      </c>
    </row>
    <row r="381" spans="1:32" ht="11.25">
      <c r="A381" s="910"/>
      <c r="B381" s="1552"/>
      <c r="C381" s="1552"/>
      <c r="D381" s="287"/>
      <c r="K381" s="1076"/>
      <c r="L381" s="1552"/>
      <c r="M381" s="1552"/>
      <c r="N381" s="1076"/>
      <c r="O381" s="1076"/>
      <c r="P381" s="1076"/>
      <c r="Q381" s="1076"/>
      <c r="R381" s="1552"/>
      <c r="S381" s="1076"/>
      <c r="T381" s="1076"/>
      <c r="U381" s="480"/>
      <c r="V381" s="1076"/>
      <c r="W381" s="1076"/>
      <c r="X381" s="1076"/>
      <c r="Y381" s="1076"/>
      <c r="Z381" s="1076"/>
      <c r="AA381" s="1548"/>
      <c r="AB381" s="502"/>
      <c r="AC381" s="502"/>
      <c r="AD381" s="502"/>
      <c r="AE381" s="502"/>
      <c r="AF381" s="1557">
        <v>11</v>
      </c>
    </row>
    <row r="382" spans="1:32" ht="11.25">
      <c r="A382" s="910"/>
      <c r="B382" s="1552"/>
      <c r="C382" s="1552"/>
      <c r="D382" s="287"/>
      <c r="K382" s="1076"/>
      <c r="L382" s="1552"/>
      <c r="M382" s="1552"/>
      <c r="N382" s="1076"/>
      <c r="O382" s="1076"/>
      <c r="P382" s="1076"/>
      <c r="Q382" s="1076"/>
      <c r="R382" s="1552"/>
      <c r="S382" s="1076"/>
      <c r="T382" s="1076"/>
      <c r="U382" s="480"/>
      <c r="V382" s="1076"/>
      <c r="W382" s="1076"/>
      <c r="X382" s="1076"/>
      <c r="Y382" s="1076"/>
      <c r="Z382" s="1076"/>
      <c r="AA382" s="1548"/>
      <c r="AB382" s="502"/>
      <c r="AC382" s="502"/>
      <c r="AD382" s="502"/>
      <c r="AE382" s="502"/>
      <c r="AF382" s="1557">
        <v>11</v>
      </c>
    </row>
    <row r="383" spans="1:32" ht="11.25">
      <c r="A383" s="910"/>
      <c r="B383" s="1552"/>
      <c r="C383" s="1552"/>
      <c r="D383" s="287"/>
      <c r="K383" s="1076"/>
      <c r="L383" s="1552"/>
      <c r="M383" s="1552"/>
      <c r="N383" s="1076"/>
      <c r="O383" s="1076"/>
      <c r="P383" s="1076"/>
      <c r="Q383" s="1076"/>
      <c r="R383" s="1552"/>
      <c r="S383" s="1076"/>
      <c r="T383" s="1076"/>
      <c r="U383" s="480"/>
      <c r="V383" s="1076"/>
      <c r="W383" s="1076"/>
      <c r="X383" s="1076"/>
      <c r="Y383" s="1076"/>
      <c r="Z383" s="1076"/>
      <c r="AA383" s="1548"/>
      <c r="AB383" s="502"/>
      <c r="AC383" s="502"/>
      <c r="AD383" s="502"/>
      <c r="AE383" s="502"/>
      <c r="AF383" s="1557">
        <v>11</v>
      </c>
    </row>
    <row r="384" spans="1:32" ht="11.25">
      <c r="A384" s="910"/>
      <c r="B384" s="1552"/>
      <c r="C384" s="1552"/>
      <c r="D384" s="287"/>
      <c r="K384" s="1076"/>
      <c r="L384" s="1552"/>
      <c r="M384" s="1552"/>
      <c r="N384" s="1076"/>
      <c r="O384" s="1076"/>
      <c r="P384" s="1076"/>
      <c r="Q384" s="1076"/>
      <c r="R384" s="1552"/>
      <c r="S384" s="1076"/>
      <c r="T384" s="1076"/>
      <c r="U384" s="480"/>
      <c r="V384" s="1076"/>
      <c r="W384" s="1076"/>
      <c r="X384" s="1076"/>
      <c r="Y384" s="1076"/>
      <c r="Z384" s="1076"/>
      <c r="AA384" s="1548"/>
      <c r="AB384" s="502"/>
      <c r="AC384" s="502"/>
      <c r="AD384" s="502"/>
      <c r="AE384" s="502"/>
      <c r="AF384" s="1557">
        <v>11</v>
      </c>
    </row>
    <row r="385" spans="1:32" ht="11.25">
      <c r="A385" s="910"/>
      <c r="B385" s="1552"/>
      <c r="C385" s="1552"/>
      <c r="D385" s="287"/>
      <c r="K385" s="1076"/>
      <c r="L385" s="1552"/>
      <c r="M385" s="1552"/>
      <c r="N385" s="1076"/>
      <c r="O385" s="1076"/>
      <c r="P385" s="1076"/>
      <c r="Q385" s="1076"/>
      <c r="R385" s="1552"/>
      <c r="S385" s="1076"/>
      <c r="T385" s="1076"/>
      <c r="U385" s="480"/>
      <c r="V385" s="1076"/>
      <c r="W385" s="1076"/>
      <c r="X385" s="1076"/>
      <c r="Y385" s="1076"/>
      <c r="Z385" s="1076"/>
      <c r="AA385" s="1548"/>
      <c r="AB385" s="502"/>
      <c r="AC385" s="502"/>
      <c r="AD385" s="502"/>
      <c r="AE385" s="502"/>
      <c r="AF385" s="1557">
        <v>11</v>
      </c>
    </row>
    <row r="386" spans="1:32" ht="11.25">
      <c r="A386" s="910"/>
      <c r="B386" s="1552"/>
      <c r="C386" s="1552"/>
      <c r="D386" s="287"/>
      <c r="K386" s="1076"/>
      <c r="L386" s="1552"/>
      <c r="M386" s="1552"/>
      <c r="N386" s="1076"/>
      <c r="O386" s="1076"/>
      <c r="P386" s="1076"/>
      <c r="Q386" s="1076"/>
      <c r="R386" s="1552"/>
      <c r="S386" s="1076"/>
      <c r="T386" s="1076"/>
      <c r="U386" s="480"/>
      <c r="V386" s="1076"/>
      <c r="W386" s="1076"/>
      <c r="X386" s="1076"/>
      <c r="Y386" s="1076"/>
      <c r="Z386" s="1076"/>
      <c r="AA386" s="1548"/>
      <c r="AB386" s="502"/>
      <c r="AC386" s="502"/>
      <c r="AD386" s="502"/>
      <c r="AE386" s="502"/>
      <c r="AF386" s="1557">
        <v>11</v>
      </c>
    </row>
    <row r="387" spans="1:32" ht="11.25">
      <c r="A387" s="910"/>
      <c r="B387" s="1552"/>
      <c r="C387" s="1552"/>
      <c r="D387" s="287"/>
      <c r="K387" s="1076"/>
      <c r="L387" s="1552"/>
      <c r="M387" s="1552"/>
      <c r="N387" s="1076"/>
      <c r="O387" s="1076"/>
      <c r="P387" s="1076"/>
      <c r="Q387" s="1076"/>
      <c r="R387" s="1552"/>
      <c r="S387" s="1076"/>
      <c r="T387" s="1076"/>
      <c r="U387" s="480"/>
      <c r="V387" s="1076"/>
      <c r="W387" s="1076"/>
      <c r="X387" s="1076"/>
      <c r="Y387" s="1076"/>
      <c r="Z387" s="1076"/>
      <c r="AA387" s="1548"/>
      <c r="AB387" s="502"/>
      <c r="AC387" s="502"/>
      <c r="AD387" s="502"/>
      <c r="AE387" s="502"/>
      <c r="AF387" s="1557">
        <v>11</v>
      </c>
    </row>
    <row r="388" spans="1:32" ht="11.25">
      <c r="A388" s="910"/>
      <c r="B388" s="1552"/>
      <c r="C388" s="1552"/>
      <c r="D388" s="287"/>
      <c r="K388" s="1076"/>
      <c r="L388" s="1552"/>
      <c r="M388" s="1552"/>
      <c r="N388" s="1076"/>
      <c r="O388" s="1076"/>
      <c r="P388" s="1076"/>
      <c r="Q388" s="1076"/>
      <c r="R388" s="1552"/>
      <c r="S388" s="1076"/>
      <c r="T388" s="1076"/>
      <c r="U388" s="480"/>
      <c r="V388" s="1076"/>
      <c r="W388" s="1076"/>
      <c r="X388" s="1076"/>
      <c r="Y388" s="1076"/>
      <c r="Z388" s="1076"/>
      <c r="AA388" s="1548"/>
      <c r="AB388" s="502"/>
      <c r="AC388" s="502"/>
      <c r="AD388" s="502"/>
      <c r="AE388" s="502"/>
      <c r="AF388" s="1557">
        <v>11</v>
      </c>
    </row>
    <row r="389" spans="1:32" ht="11.25">
      <c r="A389" s="910"/>
      <c r="B389" s="1552"/>
      <c r="C389" s="1552"/>
      <c r="D389" s="287"/>
      <c r="K389" s="1076"/>
      <c r="L389" s="1552"/>
      <c r="M389" s="1552"/>
      <c r="N389" s="1076"/>
      <c r="O389" s="1076"/>
      <c r="P389" s="1076"/>
      <c r="Q389" s="1076"/>
      <c r="R389" s="1552"/>
      <c r="S389" s="1076"/>
      <c r="T389" s="1076"/>
      <c r="U389" s="480"/>
      <c r="V389" s="1076"/>
      <c r="W389" s="1076"/>
      <c r="X389" s="1076"/>
      <c r="Y389" s="1076"/>
      <c r="Z389" s="1076"/>
      <c r="AA389" s="1548"/>
      <c r="AB389" s="502"/>
      <c r="AC389" s="502"/>
      <c r="AD389" s="502"/>
      <c r="AE389" s="502"/>
      <c r="AF389" s="1557">
        <v>11</v>
      </c>
    </row>
    <row r="390" spans="1:32" ht="11.25">
      <c r="A390" s="910"/>
      <c r="B390" s="1552"/>
      <c r="C390" s="1552"/>
      <c r="D390" s="287"/>
      <c r="K390" s="1076"/>
      <c r="L390" s="1552"/>
      <c r="M390" s="1552"/>
      <c r="N390" s="1076"/>
      <c r="O390" s="1076"/>
      <c r="P390" s="1076"/>
      <c r="Q390" s="1076"/>
      <c r="R390" s="1552"/>
      <c r="S390" s="1076"/>
      <c r="T390" s="1076"/>
      <c r="U390" s="480"/>
      <c r="V390" s="1076"/>
      <c r="W390" s="1076"/>
      <c r="X390" s="1076"/>
      <c r="Y390" s="1076"/>
      <c r="Z390" s="1076"/>
      <c r="AA390" s="1548"/>
      <c r="AB390" s="502"/>
      <c r="AC390" s="502"/>
      <c r="AD390" s="502"/>
      <c r="AE390" s="502"/>
      <c r="AF390" s="1557">
        <v>11</v>
      </c>
    </row>
    <row r="391" spans="1:32" ht="11.25">
      <c r="A391" s="910"/>
      <c r="B391" s="1552"/>
      <c r="C391" s="1552"/>
      <c r="D391" s="287"/>
      <c r="K391" s="1076"/>
      <c r="L391" s="1552"/>
      <c r="M391" s="1552"/>
      <c r="N391" s="1076"/>
      <c r="O391" s="1076"/>
      <c r="P391" s="1076"/>
      <c r="Q391" s="1076"/>
      <c r="R391" s="1552"/>
      <c r="S391" s="1076"/>
      <c r="T391" s="1076"/>
      <c r="U391" s="480"/>
      <c r="V391" s="1076"/>
      <c r="W391" s="1076"/>
      <c r="X391" s="1076"/>
      <c r="Y391" s="1076"/>
      <c r="Z391" s="1076"/>
      <c r="AA391" s="1548"/>
      <c r="AB391" s="502"/>
      <c r="AC391" s="502"/>
      <c r="AD391" s="502"/>
      <c r="AE391" s="502"/>
      <c r="AF391" s="1557">
        <v>11</v>
      </c>
    </row>
    <row r="392" spans="1:32" ht="11.25">
      <c r="A392" s="910"/>
      <c r="B392" s="1552"/>
      <c r="C392" s="1552"/>
      <c r="D392" s="287"/>
      <c r="K392" s="1076"/>
      <c r="L392" s="1552"/>
      <c r="M392" s="1552"/>
      <c r="N392" s="1076"/>
      <c r="O392" s="1076"/>
      <c r="P392" s="1076"/>
      <c r="Q392" s="1076"/>
      <c r="R392" s="1552"/>
      <c r="S392" s="1076"/>
      <c r="T392" s="1076"/>
      <c r="U392" s="480"/>
      <c r="V392" s="1076"/>
      <c r="W392" s="1076"/>
      <c r="X392" s="1076"/>
      <c r="Y392" s="1076"/>
      <c r="Z392" s="1076"/>
      <c r="AA392" s="1548"/>
      <c r="AB392" s="502"/>
      <c r="AC392" s="502"/>
      <c r="AD392" s="502"/>
      <c r="AE392" s="502"/>
      <c r="AF392" s="1557">
        <v>11</v>
      </c>
    </row>
    <row r="393" spans="1:32" ht="11.25">
      <c r="A393" s="910"/>
      <c r="B393" s="1552"/>
      <c r="C393" s="1552"/>
      <c r="D393" s="287"/>
      <c r="K393" s="1076"/>
      <c r="L393" s="1552"/>
      <c r="M393" s="1552"/>
      <c r="N393" s="1076"/>
      <c r="O393" s="1076"/>
      <c r="P393" s="1076"/>
      <c r="Q393" s="1076"/>
      <c r="R393" s="1552"/>
      <c r="S393" s="1076"/>
      <c r="T393" s="1076"/>
      <c r="U393" s="480"/>
      <c r="V393" s="1076"/>
      <c r="W393" s="1076"/>
      <c r="X393" s="1076"/>
      <c r="Y393" s="1076"/>
      <c r="Z393" s="1076"/>
      <c r="AA393" s="1548"/>
      <c r="AB393" s="502"/>
      <c r="AC393" s="502"/>
      <c r="AD393" s="502"/>
      <c r="AE393" s="502"/>
      <c r="AF393" s="1557">
        <v>11</v>
      </c>
    </row>
    <row r="394" spans="1:32" ht="11.25">
      <c r="A394" s="910"/>
      <c r="B394" s="1552"/>
      <c r="C394" s="1552"/>
      <c r="D394" s="287"/>
      <c r="K394" s="1076"/>
      <c r="L394" s="1552"/>
      <c r="M394" s="1552"/>
      <c r="N394" s="1076"/>
      <c r="O394" s="1076"/>
      <c r="P394" s="1076"/>
      <c r="Q394" s="1076"/>
      <c r="R394" s="1552"/>
      <c r="S394" s="1076"/>
      <c r="T394" s="1076"/>
      <c r="U394" s="480"/>
      <c r="V394" s="1076"/>
      <c r="W394" s="1076"/>
      <c r="X394" s="1076"/>
      <c r="Y394" s="1076"/>
      <c r="Z394" s="1076"/>
      <c r="AA394" s="1548"/>
      <c r="AB394" s="502"/>
      <c r="AC394" s="502"/>
      <c r="AD394" s="502"/>
      <c r="AE394" s="502"/>
      <c r="AF394" s="1557">
        <v>11</v>
      </c>
    </row>
    <row r="395" spans="1:32" ht="11.25">
      <c r="A395" s="910"/>
      <c r="B395" s="1552"/>
      <c r="C395" s="1552"/>
      <c r="D395" s="287"/>
      <c r="K395" s="1076"/>
      <c r="L395" s="1552"/>
      <c r="M395" s="1552"/>
      <c r="N395" s="1076"/>
      <c r="O395" s="1076"/>
      <c r="P395" s="1076"/>
      <c r="Q395" s="1076"/>
      <c r="R395" s="1552"/>
      <c r="S395" s="1076"/>
      <c r="T395" s="1076"/>
      <c r="U395" s="480"/>
      <c r="V395" s="1076"/>
      <c r="W395" s="1076"/>
      <c r="X395" s="1076"/>
      <c r="Y395" s="1076"/>
      <c r="Z395" s="1076"/>
      <c r="AA395" s="1548"/>
      <c r="AB395" s="502"/>
      <c r="AC395" s="502"/>
      <c r="AD395" s="502"/>
      <c r="AE395" s="502"/>
      <c r="AF395" s="1557">
        <v>11</v>
      </c>
    </row>
    <row r="396" spans="1:32" ht="11.25">
      <c r="A396" s="910"/>
      <c r="B396" s="1552"/>
      <c r="C396" s="1552"/>
      <c r="D396" s="287"/>
      <c r="K396" s="1076"/>
      <c r="L396" s="1552"/>
      <c r="M396" s="1552"/>
      <c r="N396" s="1076"/>
      <c r="O396" s="1076"/>
      <c r="P396" s="1076"/>
      <c r="Q396" s="1076"/>
      <c r="R396" s="1552"/>
      <c r="S396" s="1076"/>
      <c r="T396" s="1076"/>
      <c r="U396" s="480"/>
      <c r="V396" s="1076"/>
      <c r="W396" s="1076"/>
      <c r="X396" s="1076"/>
      <c r="Y396" s="1076"/>
      <c r="Z396" s="1076"/>
      <c r="AA396" s="1548"/>
      <c r="AB396" s="502"/>
      <c r="AC396" s="502"/>
      <c r="AD396" s="502"/>
      <c r="AE396" s="502"/>
      <c r="AF396" s="1557">
        <v>11</v>
      </c>
    </row>
    <row r="397" spans="1:32" ht="11.25">
      <c r="A397" s="910"/>
      <c r="B397" s="1552"/>
      <c r="C397" s="1552"/>
      <c r="D397" s="287"/>
      <c r="K397" s="1076"/>
      <c r="L397" s="1552"/>
      <c r="M397" s="1552"/>
      <c r="N397" s="1076"/>
      <c r="O397" s="1076"/>
      <c r="P397" s="1076"/>
      <c r="Q397" s="1076"/>
      <c r="R397" s="1552"/>
      <c r="S397" s="1076"/>
      <c r="T397" s="1076"/>
      <c r="U397" s="480"/>
      <c r="V397" s="1076"/>
      <c r="W397" s="1076"/>
      <c r="X397" s="1076"/>
      <c r="Y397" s="1076"/>
      <c r="Z397" s="1076"/>
      <c r="AA397" s="1548"/>
      <c r="AB397" s="502"/>
      <c r="AC397" s="502"/>
      <c r="AD397" s="502"/>
      <c r="AE397" s="502"/>
      <c r="AF397" s="1557">
        <v>11</v>
      </c>
    </row>
    <row r="398" spans="1:32" ht="11.25">
      <c r="A398" s="910"/>
      <c r="B398" s="1552"/>
      <c r="C398" s="1552"/>
      <c r="D398" s="287"/>
      <c r="K398" s="1076"/>
      <c r="L398" s="1552"/>
      <c r="M398" s="1552"/>
      <c r="N398" s="1076"/>
      <c r="O398" s="1076"/>
      <c r="P398" s="1076"/>
      <c r="Q398" s="1076"/>
      <c r="R398" s="1552"/>
      <c r="S398" s="1076"/>
      <c r="T398" s="1076"/>
      <c r="U398" s="480"/>
      <c r="V398" s="1076"/>
      <c r="W398" s="1076"/>
      <c r="X398" s="1076"/>
      <c r="Y398" s="1076"/>
      <c r="Z398" s="1076"/>
      <c r="AA398" s="1548"/>
      <c r="AB398" s="502"/>
      <c r="AC398" s="502"/>
      <c r="AD398" s="502"/>
      <c r="AE398" s="502"/>
      <c r="AF398" s="1557">
        <v>11</v>
      </c>
    </row>
    <row r="399" spans="1:32" ht="11.25">
      <c r="A399" s="910"/>
      <c r="B399" s="1552"/>
      <c r="C399" s="1552"/>
      <c r="D399" s="287"/>
      <c r="K399" s="1076"/>
      <c r="L399" s="1552"/>
      <c r="M399" s="1552"/>
      <c r="N399" s="1076"/>
      <c r="O399" s="1076"/>
      <c r="P399" s="1076"/>
      <c r="Q399" s="1076"/>
      <c r="R399" s="1552"/>
      <c r="S399" s="1076"/>
      <c r="T399" s="1076"/>
      <c r="U399" s="480"/>
      <c r="V399" s="1076"/>
      <c r="W399" s="1076"/>
      <c r="X399" s="1076"/>
      <c r="Y399" s="1076"/>
      <c r="Z399" s="1076"/>
      <c r="AA399" s="1548"/>
      <c r="AB399" s="502"/>
      <c r="AC399" s="502"/>
      <c r="AD399" s="502"/>
      <c r="AE399" s="502"/>
      <c r="AF399" s="1557">
        <v>11</v>
      </c>
    </row>
    <row r="400" spans="1:32" ht="11.25">
      <c r="A400" s="910"/>
      <c r="B400" s="1552"/>
      <c r="C400" s="1552"/>
      <c r="D400" s="287"/>
      <c r="K400" s="1076"/>
      <c r="L400" s="1552"/>
      <c r="M400" s="1552"/>
      <c r="N400" s="1076"/>
      <c r="O400" s="1076"/>
      <c r="P400" s="1076"/>
      <c r="Q400" s="1076"/>
      <c r="R400" s="1552"/>
      <c r="S400" s="1076"/>
      <c r="T400" s="1076"/>
      <c r="U400" s="480"/>
      <c r="V400" s="1076"/>
      <c r="W400" s="1076"/>
      <c r="X400" s="1076"/>
      <c r="Y400" s="1076"/>
      <c r="Z400" s="1076"/>
      <c r="AA400" s="1548"/>
      <c r="AB400" s="502"/>
      <c r="AC400" s="502"/>
      <c r="AD400" s="502"/>
      <c r="AE400" s="502"/>
      <c r="AF400" s="1557">
        <v>11</v>
      </c>
    </row>
    <row r="401" spans="1:32" ht="11.25">
      <c r="A401" s="910"/>
      <c r="B401" s="1552"/>
      <c r="C401" s="1552"/>
      <c r="D401" s="287"/>
      <c r="K401" s="1076"/>
      <c r="L401" s="1552"/>
      <c r="M401" s="1552"/>
      <c r="N401" s="1076"/>
      <c r="O401" s="1076"/>
      <c r="P401" s="1076"/>
      <c r="Q401" s="1076"/>
      <c r="R401" s="1552"/>
      <c r="S401" s="1076"/>
      <c r="T401" s="1076"/>
      <c r="U401" s="480"/>
      <c r="V401" s="1076"/>
      <c r="W401" s="1076"/>
      <c r="X401" s="1076"/>
      <c r="Y401" s="1076"/>
      <c r="Z401" s="1076"/>
      <c r="AA401" s="1548"/>
      <c r="AB401" s="502"/>
      <c r="AC401" s="502"/>
      <c r="AD401" s="502"/>
      <c r="AE401" s="502"/>
      <c r="AF401" s="1557">
        <v>11</v>
      </c>
    </row>
    <row r="402" spans="1:32" ht="11.25">
      <c r="A402" s="910"/>
      <c r="B402" s="1552"/>
      <c r="C402" s="1552"/>
      <c r="D402" s="287"/>
      <c r="K402" s="1076"/>
      <c r="L402" s="1552"/>
      <c r="M402" s="1552"/>
      <c r="N402" s="1076"/>
      <c r="O402" s="1076"/>
      <c r="P402" s="1076"/>
      <c r="Q402" s="1076"/>
      <c r="R402" s="1552"/>
      <c r="S402" s="1076"/>
      <c r="T402" s="1076"/>
      <c r="U402" s="480"/>
      <c r="V402" s="1076"/>
      <c r="W402" s="1076"/>
      <c r="X402" s="1076"/>
      <c r="Y402" s="1076"/>
      <c r="Z402" s="1076"/>
      <c r="AA402" s="1548"/>
      <c r="AB402" s="502"/>
      <c r="AC402" s="502"/>
      <c r="AD402" s="502"/>
      <c r="AE402" s="502"/>
      <c r="AF402" s="1557">
        <v>11</v>
      </c>
    </row>
    <row r="403" spans="1:32" ht="11.25">
      <c r="A403" s="910"/>
      <c r="B403" s="1552"/>
      <c r="C403" s="1552"/>
      <c r="D403" s="287"/>
      <c r="K403" s="1076"/>
      <c r="L403" s="1552"/>
      <c r="M403" s="1552"/>
      <c r="N403" s="1076"/>
      <c r="O403" s="1076"/>
      <c r="P403" s="1076"/>
      <c r="Q403" s="1076"/>
      <c r="R403" s="1552"/>
      <c r="S403" s="1076"/>
      <c r="T403" s="1076"/>
      <c r="U403" s="480"/>
      <c r="V403" s="1076"/>
      <c r="W403" s="1076"/>
      <c r="X403" s="1076"/>
      <c r="Y403" s="1076"/>
      <c r="Z403" s="1076"/>
      <c r="AA403" s="1548"/>
      <c r="AB403" s="502"/>
      <c r="AC403" s="502"/>
      <c r="AD403" s="502"/>
      <c r="AE403" s="502"/>
      <c r="AF403" s="1557">
        <v>11</v>
      </c>
    </row>
    <row r="404" spans="1:32" ht="11.25">
      <c r="A404" s="910"/>
      <c r="B404" s="1552"/>
      <c r="C404" s="1552"/>
      <c r="D404" s="287"/>
      <c r="K404" s="1076"/>
      <c r="L404" s="1552"/>
      <c r="M404" s="1552"/>
      <c r="N404" s="1076"/>
      <c r="O404" s="1076"/>
      <c r="P404" s="1076"/>
      <c r="Q404" s="1076"/>
      <c r="R404" s="1552"/>
      <c r="S404" s="1076"/>
      <c r="T404" s="1076"/>
      <c r="U404" s="480"/>
      <c r="V404" s="1076"/>
      <c r="W404" s="1076"/>
      <c r="X404" s="1076"/>
      <c r="Y404" s="1076"/>
      <c r="Z404" s="1076"/>
      <c r="AA404" s="1548"/>
      <c r="AB404" s="502"/>
      <c r="AC404" s="502"/>
      <c r="AD404" s="502"/>
      <c r="AE404" s="502"/>
      <c r="AF404" s="1557">
        <v>11</v>
      </c>
    </row>
    <row r="405" spans="1:32" ht="11.25">
      <c r="A405" s="910"/>
      <c r="B405" s="1552"/>
      <c r="C405" s="1552"/>
      <c r="D405" s="287"/>
      <c r="K405" s="1076"/>
      <c r="L405" s="1552"/>
      <c r="M405" s="1552"/>
      <c r="N405" s="1076"/>
      <c r="O405" s="1076"/>
      <c r="P405" s="1076"/>
      <c r="Q405" s="1076"/>
      <c r="R405" s="1552"/>
      <c r="S405" s="1076"/>
      <c r="T405" s="1076"/>
      <c r="U405" s="480"/>
      <c r="V405" s="1076"/>
      <c r="W405" s="1076"/>
      <c r="X405" s="1076"/>
      <c r="Y405" s="1076"/>
      <c r="Z405" s="1076"/>
      <c r="AA405" s="1548"/>
      <c r="AB405" s="502"/>
      <c r="AC405" s="502"/>
      <c r="AD405" s="502"/>
      <c r="AE405" s="502"/>
      <c r="AF405" s="1557">
        <v>11</v>
      </c>
    </row>
    <row r="406" spans="1:32" ht="11.25">
      <c r="A406" s="910"/>
      <c r="B406" s="1552"/>
      <c r="C406" s="1552"/>
      <c r="D406" s="287"/>
      <c r="K406" s="1076"/>
      <c r="L406" s="1552"/>
      <c r="M406" s="1552"/>
      <c r="N406" s="1076"/>
      <c r="O406" s="1076"/>
      <c r="P406" s="1076"/>
      <c r="Q406" s="1076"/>
      <c r="R406" s="1552"/>
      <c r="S406" s="1076"/>
      <c r="T406" s="1076"/>
      <c r="U406" s="480"/>
      <c r="V406" s="1076"/>
      <c r="W406" s="1076"/>
      <c r="X406" s="1076"/>
      <c r="Y406" s="1076"/>
      <c r="Z406" s="1076"/>
      <c r="AA406" s="1548"/>
      <c r="AB406" s="502"/>
      <c r="AC406" s="502"/>
      <c r="AD406" s="502"/>
      <c r="AE406" s="502"/>
      <c r="AF406" s="1557">
        <v>11</v>
      </c>
    </row>
    <row r="407" spans="1:32" ht="11.25">
      <c r="A407" s="910"/>
      <c r="B407" s="1552"/>
      <c r="C407" s="1552"/>
      <c r="D407" s="287"/>
      <c r="K407" s="1076"/>
      <c r="L407" s="1552"/>
      <c r="M407" s="1552"/>
      <c r="N407" s="1076"/>
      <c r="O407" s="1076"/>
      <c r="P407" s="1076"/>
      <c r="Q407" s="1076"/>
      <c r="R407" s="1552"/>
      <c r="S407" s="1076"/>
      <c r="T407" s="1076"/>
      <c r="U407" s="480"/>
      <c r="V407" s="1076"/>
      <c r="W407" s="1076"/>
      <c r="X407" s="1076"/>
      <c r="Y407" s="1076"/>
      <c r="Z407" s="1076"/>
      <c r="AA407" s="1548"/>
      <c r="AB407" s="502"/>
      <c r="AC407" s="502"/>
      <c r="AD407" s="502"/>
      <c r="AE407" s="502"/>
      <c r="AF407" s="1557">
        <v>11</v>
      </c>
    </row>
    <row r="408" spans="1:32" ht="11.25">
      <c r="A408" s="910"/>
      <c r="B408" s="1552"/>
      <c r="C408" s="1552"/>
      <c r="D408" s="287"/>
      <c r="K408" s="1076"/>
      <c r="L408" s="1552"/>
      <c r="M408" s="1552"/>
      <c r="N408" s="1076"/>
      <c r="O408" s="1076"/>
      <c r="P408" s="1076"/>
      <c r="Q408" s="1076"/>
      <c r="R408" s="1552"/>
      <c r="S408" s="1076"/>
      <c r="T408" s="1076"/>
      <c r="U408" s="480"/>
      <c r="V408" s="1076"/>
      <c r="W408" s="1076"/>
      <c r="X408" s="1076"/>
      <c r="Y408" s="1076"/>
      <c r="Z408" s="1076"/>
      <c r="AA408" s="1548"/>
      <c r="AB408" s="502"/>
      <c r="AC408" s="502"/>
      <c r="AD408" s="502"/>
      <c r="AE408" s="502"/>
      <c r="AF408" s="1557">
        <v>11</v>
      </c>
    </row>
    <row r="409" spans="1:32" ht="11.25">
      <c r="A409" s="910"/>
      <c r="B409" s="1552"/>
      <c r="C409" s="1552"/>
      <c r="D409" s="287"/>
      <c r="K409" s="1076"/>
      <c r="L409" s="1552"/>
      <c r="M409" s="1552"/>
      <c r="N409" s="1076"/>
      <c r="O409" s="1076"/>
      <c r="P409" s="1076"/>
      <c r="Q409" s="1076"/>
      <c r="R409" s="1552"/>
      <c r="S409" s="1076"/>
      <c r="T409" s="1076"/>
      <c r="U409" s="480"/>
      <c r="V409" s="1076"/>
      <c r="W409" s="1076"/>
      <c r="X409" s="1076"/>
      <c r="Y409" s="1076"/>
      <c r="Z409" s="1076"/>
      <c r="AA409" s="1548"/>
      <c r="AB409" s="502"/>
      <c r="AC409" s="502"/>
      <c r="AD409" s="502"/>
      <c r="AE409" s="502"/>
      <c r="AF409" s="1557">
        <v>11</v>
      </c>
    </row>
    <row r="410" spans="1:32" ht="11.25">
      <c r="A410" s="910"/>
      <c r="B410" s="1552"/>
      <c r="C410" s="1552"/>
      <c r="D410" s="287"/>
      <c r="K410" s="1076"/>
      <c r="L410" s="1552"/>
      <c r="M410" s="1552"/>
      <c r="N410" s="1076"/>
      <c r="O410" s="1076"/>
      <c r="P410" s="1076"/>
      <c r="Q410" s="1076"/>
      <c r="R410" s="1552"/>
      <c r="S410" s="1076"/>
      <c r="T410" s="1076"/>
      <c r="U410" s="480"/>
      <c r="V410" s="1076"/>
      <c r="W410" s="1076"/>
      <c r="X410" s="1076"/>
      <c r="Y410" s="1076"/>
      <c r="Z410" s="1076"/>
      <c r="AA410" s="1548"/>
      <c r="AB410" s="502"/>
      <c r="AC410" s="502"/>
      <c r="AD410" s="502"/>
      <c r="AE410" s="502"/>
      <c r="AF410" s="1557">
        <v>11</v>
      </c>
    </row>
    <row r="411" spans="1:32" ht="11.25">
      <c r="A411" s="910"/>
      <c r="B411" s="1552"/>
      <c r="C411" s="1552"/>
      <c r="D411" s="287"/>
      <c r="K411" s="1076"/>
      <c r="L411" s="1552"/>
      <c r="M411" s="1552"/>
      <c r="N411" s="1076"/>
      <c r="O411" s="1076"/>
      <c r="P411" s="1076"/>
      <c r="Q411" s="1076"/>
      <c r="R411" s="1552"/>
      <c r="S411" s="1076"/>
      <c r="T411" s="1076"/>
      <c r="U411" s="480"/>
      <c r="V411" s="1076"/>
      <c r="W411" s="1076"/>
      <c r="X411" s="1076"/>
      <c r="Y411" s="1076"/>
      <c r="Z411" s="1076"/>
      <c r="AA411" s="1548"/>
      <c r="AB411" s="502"/>
      <c r="AC411" s="502"/>
      <c r="AD411" s="502"/>
      <c r="AE411" s="502"/>
      <c r="AF411" s="1557">
        <v>11</v>
      </c>
    </row>
    <row r="412" spans="1:32" ht="11.25">
      <c r="A412" s="910"/>
      <c r="B412" s="1552"/>
      <c r="C412" s="1552"/>
      <c r="D412" s="287"/>
      <c r="K412" s="1076"/>
      <c r="L412" s="1552"/>
      <c r="M412" s="1552"/>
      <c r="N412" s="1076"/>
      <c r="O412" s="1076"/>
      <c r="P412" s="1076"/>
      <c r="Q412" s="1076"/>
      <c r="R412" s="1552"/>
      <c r="S412" s="1076"/>
      <c r="T412" s="1076"/>
      <c r="U412" s="480"/>
      <c r="V412" s="1076"/>
      <c r="W412" s="1076"/>
      <c r="X412" s="1076"/>
      <c r="Y412" s="1076"/>
      <c r="Z412" s="1076"/>
      <c r="AA412" s="1548"/>
      <c r="AB412" s="502"/>
      <c r="AC412" s="502"/>
      <c r="AD412" s="502"/>
      <c r="AE412" s="502"/>
      <c r="AF412" s="1557">
        <v>11</v>
      </c>
    </row>
    <row r="413" spans="1:32" ht="11.25">
      <c r="A413" s="910"/>
      <c r="B413" s="1552"/>
      <c r="C413" s="1552"/>
      <c r="D413" s="287"/>
      <c r="K413" s="1076"/>
      <c r="L413" s="1552"/>
      <c r="M413" s="1552"/>
      <c r="N413" s="1076"/>
      <c r="O413" s="1076"/>
      <c r="P413" s="1076"/>
      <c r="Q413" s="1076"/>
      <c r="R413" s="1552"/>
      <c r="S413" s="1076"/>
      <c r="T413" s="1076"/>
      <c r="U413" s="480"/>
      <c r="V413" s="1076"/>
      <c r="W413" s="1076"/>
      <c r="X413" s="1076"/>
      <c r="Y413" s="1076"/>
      <c r="Z413" s="1076"/>
      <c r="AA413" s="1548"/>
      <c r="AB413" s="502"/>
      <c r="AC413" s="502"/>
      <c r="AD413" s="502"/>
      <c r="AE413" s="502"/>
      <c r="AF413" s="1557">
        <v>11</v>
      </c>
    </row>
    <row r="414" spans="1:32" ht="11.25">
      <c r="A414" s="910"/>
      <c r="B414" s="1552"/>
      <c r="C414" s="1552"/>
      <c r="D414" s="287"/>
      <c r="K414" s="1076"/>
      <c r="L414" s="1552"/>
      <c r="M414" s="1552"/>
      <c r="N414" s="1076"/>
      <c r="O414" s="1076"/>
      <c r="P414" s="1076"/>
      <c r="Q414" s="1076"/>
      <c r="R414" s="1552"/>
      <c r="S414" s="1076"/>
      <c r="T414" s="1076"/>
      <c r="U414" s="480"/>
      <c r="V414" s="1076"/>
      <c r="W414" s="1076"/>
      <c r="X414" s="1076"/>
      <c r="Y414" s="1076"/>
      <c r="Z414" s="1076"/>
      <c r="AA414" s="1548"/>
      <c r="AB414" s="502"/>
      <c r="AC414" s="502"/>
      <c r="AD414" s="502"/>
      <c r="AE414" s="502"/>
      <c r="AF414" s="1557">
        <v>11</v>
      </c>
    </row>
    <row r="415" spans="1:32" ht="11.25">
      <c r="A415" s="910"/>
      <c r="B415" s="1552"/>
      <c r="C415" s="1552"/>
      <c r="D415" s="287"/>
      <c r="K415" s="1076"/>
      <c r="L415" s="1552"/>
      <c r="M415" s="1552"/>
      <c r="N415" s="1076"/>
      <c r="O415" s="1076"/>
      <c r="P415" s="1076"/>
      <c r="Q415" s="1076"/>
      <c r="R415" s="1552"/>
      <c r="S415" s="1076"/>
      <c r="T415" s="1076"/>
      <c r="U415" s="480"/>
      <c r="V415" s="1076"/>
      <c r="W415" s="1076"/>
      <c r="X415" s="1076"/>
      <c r="Y415" s="1076"/>
      <c r="Z415" s="1076"/>
      <c r="AA415" s="1548"/>
      <c r="AB415" s="502"/>
      <c r="AC415" s="502"/>
      <c r="AD415" s="502"/>
      <c r="AE415" s="502"/>
      <c r="AF415" s="1557">
        <v>11</v>
      </c>
    </row>
    <row r="416" spans="1:32" ht="11.25">
      <c r="A416" s="910"/>
      <c r="B416" s="1552"/>
      <c r="C416" s="1552"/>
      <c r="D416" s="287"/>
      <c r="K416" s="1076"/>
      <c r="L416" s="1552"/>
      <c r="M416" s="1552"/>
      <c r="N416" s="1076"/>
      <c r="O416" s="1076"/>
      <c r="P416" s="1076"/>
      <c r="Q416" s="1076"/>
      <c r="R416" s="1552"/>
      <c r="S416" s="1076"/>
      <c r="T416" s="1076"/>
      <c r="U416" s="480"/>
      <c r="V416" s="1076"/>
      <c r="W416" s="1076"/>
      <c r="X416" s="1076"/>
      <c r="Y416" s="1076"/>
      <c r="Z416" s="1076"/>
      <c r="AA416" s="1548"/>
      <c r="AB416" s="502"/>
      <c r="AC416" s="502"/>
      <c r="AD416" s="502"/>
      <c r="AE416" s="502"/>
      <c r="AF416" s="1557">
        <v>11</v>
      </c>
    </row>
    <row r="417" spans="1:32" ht="11.25">
      <c r="A417" s="910"/>
      <c r="B417" s="1552"/>
      <c r="C417" s="1552"/>
      <c r="D417" s="287"/>
      <c r="K417" s="1076"/>
      <c r="L417" s="1552"/>
      <c r="M417" s="1552"/>
      <c r="N417" s="1076"/>
      <c r="O417" s="1076"/>
      <c r="P417" s="1076"/>
      <c r="Q417" s="1076"/>
      <c r="R417" s="1552"/>
      <c r="S417" s="1076"/>
      <c r="T417" s="1076"/>
      <c r="U417" s="480"/>
      <c r="V417" s="1076"/>
      <c r="W417" s="1076"/>
      <c r="X417" s="1076"/>
      <c r="Y417" s="1076"/>
      <c r="Z417" s="1076"/>
      <c r="AA417" s="1548"/>
      <c r="AB417" s="502"/>
      <c r="AC417" s="502"/>
      <c r="AD417" s="502"/>
      <c r="AE417" s="502"/>
      <c r="AF417" s="1557">
        <v>11</v>
      </c>
    </row>
    <row r="418" spans="1:32" ht="11.25">
      <c r="A418" s="910"/>
      <c r="B418" s="1552"/>
      <c r="C418" s="1552"/>
      <c r="D418" s="287"/>
      <c r="K418" s="1076"/>
      <c r="L418" s="1552"/>
      <c r="M418" s="1552"/>
      <c r="N418" s="1076"/>
      <c r="O418" s="1076"/>
      <c r="P418" s="1076"/>
      <c r="Q418" s="1076"/>
      <c r="R418" s="1552"/>
      <c r="S418" s="1076"/>
      <c r="T418" s="1076"/>
      <c r="U418" s="480"/>
      <c r="V418" s="1076"/>
      <c r="W418" s="1076"/>
      <c r="X418" s="1076"/>
      <c r="Y418" s="1076"/>
      <c r="Z418" s="1076"/>
      <c r="AA418" s="1548"/>
      <c r="AB418" s="502"/>
      <c r="AC418" s="502"/>
      <c r="AD418" s="502"/>
      <c r="AE418" s="502"/>
      <c r="AF418" s="1557">
        <v>11</v>
      </c>
    </row>
    <row r="419" spans="1:32" ht="11.25">
      <c r="A419" s="910"/>
      <c r="B419" s="1552"/>
      <c r="C419" s="1552"/>
      <c r="D419" s="287"/>
      <c r="K419" s="1076"/>
      <c r="L419" s="1552"/>
      <c r="M419" s="1552"/>
      <c r="N419" s="1076"/>
      <c r="O419" s="1076"/>
      <c r="P419" s="1076"/>
      <c r="Q419" s="1076"/>
      <c r="R419" s="1552"/>
      <c r="S419" s="1076"/>
      <c r="T419" s="1076"/>
      <c r="U419" s="480"/>
      <c r="V419" s="1076"/>
      <c r="W419" s="1076"/>
      <c r="X419" s="1076"/>
      <c r="Y419" s="1076"/>
      <c r="Z419" s="1076"/>
      <c r="AA419" s="1548"/>
      <c r="AB419" s="502"/>
      <c r="AC419" s="502"/>
      <c r="AD419" s="502"/>
      <c r="AE419" s="502"/>
      <c r="AF419" s="1557">
        <v>11</v>
      </c>
    </row>
    <row r="420" spans="1:32" ht="11.25">
      <c r="A420" s="910"/>
      <c r="B420" s="1552"/>
      <c r="C420" s="1552"/>
      <c r="D420" s="287"/>
      <c r="K420" s="1076"/>
      <c r="L420" s="1552"/>
      <c r="M420" s="1552"/>
      <c r="N420" s="1076"/>
      <c r="O420" s="1076"/>
      <c r="P420" s="1076"/>
      <c r="Q420" s="1076"/>
      <c r="R420" s="1552"/>
      <c r="S420" s="1076"/>
      <c r="T420" s="1076"/>
      <c r="U420" s="480"/>
      <c r="V420" s="1076"/>
      <c r="W420" s="1076"/>
      <c r="X420" s="1076"/>
      <c r="Y420" s="1076"/>
      <c r="Z420" s="1076"/>
      <c r="AA420" s="1548"/>
      <c r="AB420" s="502"/>
      <c r="AC420" s="502"/>
      <c r="AD420" s="502"/>
      <c r="AE420" s="502"/>
      <c r="AF420" s="1557">
        <v>11</v>
      </c>
    </row>
    <row r="421" spans="1:32" ht="11.25">
      <c r="A421" s="910"/>
      <c r="B421" s="1552"/>
      <c r="C421" s="1552"/>
      <c r="D421" s="287"/>
      <c r="K421" s="1076"/>
      <c r="L421" s="1552"/>
      <c r="M421" s="1552"/>
      <c r="N421" s="1076"/>
      <c r="O421" s="1076"/>
      <c r="P421" s="1076"/>
      <c r="Q421" s="1076"/>
      <c r="R421" s="1552"/>
      <c r="S421" s="1076"/>
      <c r="T421" s="1076"/>
      <c r="U421" s="480"/>
      <c r="V421" s="1076"/>
      <c r="W421" s="1076"/>
      <c r="X421" s="1076"/>
      <c r="Y421" s="1076"/>
      <c r="Z421" s="1076"/>
      <c r="AA421" s="1548"/>
      <c r="AB421" s="502"/>
      <c r="AC421" s="502"/>
      <c r="AD421" s="502"/>
      <c r="AE421" s="502"/>
      <c r="AF421" s="1557">
        <v>11</v>
      </c>
    </row>
    <row r="422" spans="1:32" ht="11.25">
      <c r="A422" s="910"/>
      <c r="B422" s="1552"/>
      <c r="C422" s="1552"/>
      <c r="D422" s="287"/>
      <c r="K422" s="1076"/>
      <c r="L422" s="1552"/>
      <c r="M422" s="1552"/>
      <c r="N422" s="1076"/>
      <c r="O422" s="1076"/>
      <c r="P422" s="1076"/>
      <c r="Q422" s="1076"/>
      <c r="R422" s="1552"/>
      <c r="S422" s="1076"/>
      <c r="T422" s="1076"/>
      <c r="U422" s="480"/>
      <c r="V422" s="1076"/>
      <c r="W422" s="1076"/>
      <c r="X422" s="1076"/>
      <c r="Y422" s="1076"/>
      <c r="Z422" s="1076"/>
      <c r="AA422" s="1548"/>
      <c r="AB422" s="502"/>
      <c r="AC422" s="502"/>
      <c r="AD422" s="502"/>
      <c r="AE422" s="502"/>
      <c r="AF422" s="1557">
        <v>11</v>
      </c>
    </row>
    <row r="423" spans="1:32" ht="11.25">
      <c r="A423" s="910"/>
      <c r="B423" s="1552"/>
      <c r="C423" s="1552"/>
      <c r="D423" s="287"/>
      <c r="K423" s="1076"/>
      <c r="L423" s="1552"/>
      <c r="M423" s="1552"/>
      <c r="N423" s="1076"/>
      <c r="O423" s="1076"/>
      <c r="P423" s="1076"/>
      <c r="Q423" s="1076"/>
      <c r="R423" s="1552"/>
      <c r="S423" s="1076"/>
      <c r="T423" s="1076"/>
      <c r="U423" s="480"/>
      <c r="V423" s="1076"/>
      <c r="W423" s="1076"/>
      <c r="X423" s="1076"/>
      <c r="Y423" s="1076"/>
      <c r="Z423" s="1076"/>
      <c r="AA423" s="1548"/>
      <c r="AB423" s="502"/>
      <c r="AC423" s="502"/>
      <c r="AD423" s="502"/>
      <c r="AE423" s="502"/>
      <c r="AF423" s="1557">
        <v>11</v>
      </c>
    </row>
    <row r="424" spans="1:32" ht="11.25">
      <c r="A424" s="910"/>
      <c r="B424" s="1552"/>
      <c r="C424" s="1552"/>
      <c r="D424" s="287"/>
      <c r="K424" s="1076"/>
      <c r="L424" s="1552"/>
      <c r="M424" s="1552"/>
      <c r="N424" s="1076"/>
      <c r="O424" s="1076"/>
      <c r="P424" s="1076"/>
      <c r="Q424" s="1076"/>
      <c r="R424" s="1552"/>
      <c r="S424" s="1076"/>
      <c r="T424" s="1076"/>
      <c r="U424" s="480"/>
      <c r="V424" s="1076"/>
      <c r="W424" s="1076"/>
      <c r="X424" s="1076"/>
      <c r="Y424" s="1076"/>
      <c r="Z424" s="1076"/>
      <c r="AA424" s="1548"/>
      <c r="AB424" s="502"/>
      <c r="AC424" s="502"/>
      <c r="AD424" s="502"/>
      <c r="AE424" s="502"/>
      <c r="AF424" s="1557">
        <v>11</v>
      </c>
    </row>
    <row r="425" spans="1:32" ht="11.25">
      <c r="A425" s="910"/>
      <c r="B425" s="1552"/>
      <c r="C425" s="1552"/>
      <c r="D425" s="287"/>
      <c r="K425" s="1076"/>
      <c r="L425" s="1552"/>
      <c r="M425" s="1552"/>
      <c r="N425" s="1076"/>
      <c r="O425" s="1076"/>
      <c r="P425" s="1076"/>
      <c r="Q425" s="1076"/>
      <c r="R425" s="1552"/>
      <c r="S425" s="1076"/>
      <c r="T425" s="1076"/>
      <c r="U425" s="480"/>
      <c r="V425" s="1076"/>
      <c r="W425" s="1076"/>
      <c r="X425" s="1076"/>
      <c r="Y425" s="1076"/>
      <c r="Z425" s="1076"/>
      <c r="AA425" s="1548"/>
      <c r="AB425" s="502"/>
      <c r="AC425" s="502"/>
      <c r="AD425" s="502"/>
      <c r="AE425" s="502"/>
      <c r="AF425" s="1557">
        <v>11</v>
      </c>
    </row>
    <row r="426" spans="1:32" ht="11.25">
      <c r="A426" s="910"/>
      <c r="B426" s="1552"/>
      <c r="C426" s="1552"/>
      <c r="D426" s="287"/>
      <c r="K426" s="1076"/>
      <c r="L426" s="1552"/>
      <c r="M426" s="1552"/>
      <c r="N426" s="1076"/>
      <c r="O426" s="1076"/>
      <c r="P426" s="1076"/>
      <c r="Q426" s="1076"/>
      <c r="R426" s="1552"/>
      <c r="S426" s="1076"/>
      <c r="T426" s="1076"/>
      <c r="U426" s="480"/>
      <c r="V426" s="1076"/>
      <c r="W426" s="1076"/>
      <c r="X426" s="1076"/>
      <c r="Y426" s="1076"/>
      <c r="Z426" s="1076"/>
      <c r="AA426" s="1548"/>
      <c r="AB426" s="502"/>
      <c r="AC426" s="502"/>
      <c r="AD426" s="502"/>
      <c r="AE426" s="502"/>
      <c r="AF426" s="1557">
        <v>11</v>
      </c>
    </row>
    <row r="427" spans="1:32" ht="11.25">
      <c r="A427" s="910"/>
      <c r="B427" s="1552"/>
      <c r="C427" s="1552"/>
      <c r="D427" s="287"/>
      <c r="K427" s="1076"/>
      <c r="L427" s="1552"/>
      <c r="M427" s="1552"/>
      <c r="N427" s="1076"/>
      <c r="O427" s="1076"/>
      <c r="P427" s="1076"/>
      <c r="Q427" s="1076"/>
      <c r="R427" s="1552"/>
      <c r="S427" s="1076"/>
      <c r="T427" s="1076"/>
      <c r="U427" s="480"/>
      <c r="V427" s="1076"/>
      <c r="W427" s="1076"/>
      <c r="X427" s="1076"/>
      <c r="Y427" s="1076"/>
      <c r="Z427" s="1076"/>
      <c r="AA427" s="1548"/>
      <c r="AB427" s="502"/>
      <c r="AC427" s="502"/>
      <c r="AD427" s="502"/>
      <c r="AE427" s="502"/>
      <c r="AF427" s="1557">
        <v>11</v>
      </c>
    </row>
    <row r="428" spans="1:32" ht="11.25">
      <c r="A428" s="910"/>
      <c r="B428" s="1552"/>
      <c r="C428" s="1552"/>
      <c r="D428" s="287"/>
      <c r="K428" s="1076"/>
      <c r="L428" s="1552"/>
      <c r="M428" s="1552"/>
      <c r="N428" s="1076"/>
      <c r="O428" s="1076"/>
      <c r="P428" s="1076"/>
      <c r="Q428" s="1076"/>
      <c r="R428" s="1552"/>
      <c r="S428" s="1076"/>
      <c r="T428" s="1076"/>
      <c r="U428" s="480"/>
      <c r="V428" s="1076"/>
      <c r="W428" s="1076"/>
      <c r="X428" s="1076"/>
      <c r="Y428" s="1076"/>
      <c r="Z428" s="1076"/>
      <c r="AA428" s="1548"/>
      <c r="AB428" s="502"/>
      <c r="AC428" s="502"/>
      <c r="AD428" s="502"/>
      <c r="AE428" s="502"/>
      <c r="AF428" s="1557">
        <v>11</v>
      </c>
    </row>
    <row r="429" spans="1:32" ht="11.25">
      <c r="A429" s="910"/>
      <c r="B429" s="1552"/>
      <c r="C429" s="1552"/>
      <c r="D429" s="287"/>
      <c r="K429" s="1076"/>
      <c r="L429" s="1552"/>
      <c r="M429" s="1552"/>
      <c r="N429" s="1076"/>
      <c r="O429" s="1076"/>
      <c r="P429" s="1076"/>
      <c r="Q429" s="1076"/>
      <c r="R429" s="1552"/>
      <c r="S429" s="1076"/>
      <c r="T429" s="1076"/>
      <c r="U429" s="480"/>
      <c r="V429" s="1076"/>
      <c r="W429" s="1076"/>
      <c r="X429" s="1076"/>
      <c r="Y429" s="1076"/>
      <c r="Z429" s="1076"/>
      <c r="AA429" s="1548"/>
      <c r="AB429" s="502"/>
      <c r="AC429" s="502"/>
      <c r="AD429" s="502"/>
      <c r="AE429" s="502"/>
      <c r="AF429" s="1557">
        <v>11</v>
      </c>
    </row>
    <row r="430" spans="1:32" ht="11.25">
      <c r="A430" s="910"/>
      <c r="B430" s="1552"/>
      <c r="C430" s="1552"/>
      <c r="D430" s="287"/>
      <c r="K430" s="1076"/>
      <c r="L430" s="1552"/>
      <c r="M430" s="1552"/>
      <c r="N430" s="1076"/>
      <c r="O430" s="1076"/>
      <c r="P430" s="1076"/>
      <c r="Q430" s="1076"/>
      <c r="R430" s="1552"/>
      <c r="S430" s="1076"/>
      <c r="T430" s="1076"/>
      <c r="U430" s="480"/>
      <c r="V430" s="1076"/>
      <c r="W430" s="1076"/>
      <c r="X430" s="1076"/>
      <c r="Y430" s="1076"/>
      <c r="Z430" s="1076"/>
      <c r="AA430" s="1548"/>
      <c r="AB430" s="502"/>
      <c r="AC430" s="502"/>
      <c r="AD430" s="502"/>
      <c r="AE430" s="502"/>
      <c r="AF430" s="1557">
        <v>11</v>
      </c>
    </row>
    <row r="431" spans="1:32" ht="11.25">
      <c r="A431" s="910"/>
      <c r="B431" s="1552"/>
      <c r="C431" s="1552"/>
      <c r="D431" s="287"/>
      <c r="K431" s="1076"/>
      <c r="L431" s="1552"/>
      <c r="M431" s="1552"/>
      <c r="N431" s="1076"/>
      <c r="O431" s="1076"/>
      <c r="P431" s="1076"/>
      <c r="Q431" s="1076"/>
      <c r="R431" s="1552"/>
      <c r="S431" s="1076"/>
      <c r="T431" s="1076"/>
      <c r="U431" s="480"/>
      <c r="V431" s="1076"/>
      <c r="W431" s="1076"/>
      <c r="X431" s="1076"/>
      <c r="Y431" s="1076"/>
      <c r="Z431" s="1076"/>
      <c r="AA431" s="1548"/>
      <c r="AB431" s="502"/>
      <c r="AC431" s="502"/>
      <c r="AD431" s="502"/>
      <c r="AE431" s="502"/>
      <c r="AF431" s="1557">
        <v>11</v>
      </c>
    </row>
    <row r="432" spans="1:32" ht="11.25">
      <c r="A432" s="910"/>
      <c r="B432" s="1552"/>
      <c r="C432" s="1552"/>
      <c r="D432" s="287"/>
      <c r="K432" s="1076"/>
      <c r="L432" s="1552"/>
      <c r="M432" s="1552"/>
      <c r="N432" s="1076"/>
      <c r="O432" s="1076"/>
      <c r="P432" s="1076"/>
      <c r="Q432" s="1076"/>
      <c r="R432" s="1552"/>
      <c r="S432" s="1076"/>
      <c r="T432" s="1076"/>
      <c r="U432" s="480"/>
      <c r="V432" s="1076"/>
      <c r="W432" s="1076"/>
      <c r="X432" s="1076"/>
      <c r="Y432" s="1076"/>
      <c r="Z432" s="1076"/>
      <c r="AA432" s="1548"/>
      <c r="AB432" s="502"/>
      <c r="AC432" s="502"/>
      <c r="AD432" s="502"/>
      <c r="AE432" s="502"/>
      <c r="AF432" s="1557">
        <v>11</v>
      </c>
    </row>
    <row r="433" spans="1:32" ht="11.25">
      <c r="A433" s="910"/>
      <c r="B433" s="1552"/>
      <c r="C433" s="1552"/>
      <c r="D433" s="287"/>
      <c r="K433" s="1076"/>
      <c r="L433" s="1552"/>
      <c r="M433" s="1552"/>
      <c r="N433" s="1076"/>
      <c r="O433" s="1076"/>
      <c r="P433" s="1076"/>
      <c r="Q433" s="1076"/>
      <c r="R433" s="1552"/>
      <c r="S433" s="1076"/>
      <c r="T433" s="1076"/>
      <c r="U433" s="480"/>
      <c r="V433" s="1076"/>
      <c r="W433" s="1076"/>
      <c r="X433" s="1076"/>
      <c r="Y433" s="1076"/>
      <c r="Z433" s="1076"/>
      <c r="AA433" s="1548"/>
      <c r="AB433" s="502"/>
      <c r="AC433" s="502"/>
      <c r="AD433" s="502"/>
      <c r="AE433" s="502"/>
      <c r="AF433" s="1557">
        <v>11</v>
      </c>
    </row>
    <row r="434" spans="1:32" ht="11.25">
      <c r="A434" s="910"/>
      <c r="B434" s="1552"/>
      <c r="C434" s="1552"/>
      <c r="D434" s="287"/>
      <c r="K434" s="1076"/>
      <c r="L434" s="1552"/>
      <c r="M434" s="1552"/>
      <c r="N434" s="1076"/>
      <c r="O434" s="1076"/>
      <c r="P434" s="1076"/>
      <c r="Q434" s="1076"/>
      <c r="R434" s="1552"/>
      <c r="S434" s="1076"/>
      <c r="T434" s="1076"/>
      <c r="U434" s="480"/>
      <c r="V434" s="1076"/>
      <c r="W434" s="1076"/>
      <c r="X434" s="1076"/>
      <c r="Y434" s="1076"/>
      <c r="Z434" s="1076"/>
      <c r="AA434" s="1548"/>
      <c r="AB434" s="502"/>
      <c r="AC434" s="502"/>
      <c r="AD434" s="502"/>
      <c r="AE434" s="502"/>
      <c r="AF434" s="1557">
        <v>11</v>
      </c>
    </row>
    <row r="435" spans="1:32" ht="11.25">
      <c r="A435" s="910"/>
      <c r="B435" s="1552"/>
      <c r="C435" s="1552"/>
      <c r="D435" s="287"/>
      <c r="K435" s="1076"/>
      <c r="L435" s="1552"/>
      <c r="M435" s="1552"/>
      <c r="N435" s="1076"/>
      <c r="O435" s="1076"/>
      <c r="P435" s="1076"/>
      <c r="Q435" s="1076"/>
      <c r="R435" s="1552"/>
      <c r="S435" s="1076"/>
      <c r="T435" s="1076"/>
      <c r="U435" s="480"/>
      <c r="V435" s="1076"/>
      <c r="W435" s="1076"/>
      <c r="X435" s="1076"/>
      <c r="Y435" s="1076"/>
      <c r="Z435" s="1076"/>
      <c r="AA435" s="1548"/>
      <c r="AB435" s="502"/>
      <c r="AC435" s="502"/>
      <c r="AD435" s="502"/>
      <c r="AE435" s="502"/>
      <c r="AF435" s="1557">
        <v>11</v>
      </c>
    </row>
    <row r="436" spans="1:32" ht="11.25">
      <c r="A436" s="910"/>
      <c r="B436" s="1552"/>
      <c r="C436" s="1552"/>
      <c r="D436" s="287"/>
      <c r="K436" s="1076"/>
      <c r="L436" s="1552"/>
      <c r="M436" s="1552"/>
      <c r="N436" s="1076"/>
      <c r="O436" s="1076"/>
      <c r="P436" s="1076"/>
      <c r="Q436" s="1076"/>
      <c r="R436" s="1552"/>
      <c r="S436" s="1076"/>
      <c r="T436" s="1076"/>
      <c r="U436" s="480"/>
      <c r="V436" s="1076"/>
      <c r="W436" s="1076"/>
      <c r="X436" s="1076"/>
      <c r="Y436" s="1076"/>
      <c r="Z436" s="1076"/>
      <c r="AA436" s="1548"/>
      <c r="AB436" s="502"/>
      <c r="AC436" s="502"/>
      <c r="AD436" s="502"/>
      <c r="AE436" s="502"/>
      <c r="AF436" s="1557">
        <v>11</v>
      </c>
    </row>
    <row r="437" spans="1:32" ht="11.25">
      <c r="A437" s="910"/>
      <c r="B437" s="1552"/>
      <c r="C437" s="1552"/>
      <c r="D437" s="287"/>
      <c r="K437" s="1076"/>
      <c r="L437" s="1552"/>
      <c r="M437" s="1552"/>
      <c r="N437" s="1076"/>
      <c r="O437" s="1076"/>
      <c r="P437" s="1076"/>
      <c r="Q437" s="1076"/>
      <c r="R437" s="1552"/>
      <c r="S437" s="1076"/>
      <c r="T437" s="1076"/>
      <c r="U437" s="480"/>
      <c r="V437" s="1076"/>
      <c r="W437" s="1076"/>
      <c r="X437" s="1076"/>
      <c r="Y437" s="1076"/>
      <c r="Z437" s="1076"/>
      <c r="AA437" s="1548"/>
      <c r="AB437" s="502"/>
      <c r="AC437" s="502"/>
      <c r="AD437" s="502"/>
      <c r="AE437" s="502"/>
      <c r="AF437" s="1557">
        <v>11</v>
      </c>
    </row>
    <row r="438" spans="1:32" ht="11.25">
      <c r="A438" s="910"/>
      <c r="B438" s="1552"/>
      <c r="C438" s="1552"/>
      <c r="D438" s="287"/>
      <c r="K438" s="1076"/>
      <c r="L438" s="1552"/>
      <c r="M438" s="1552"/>
      <c r="N438" s="1076"/>
      <c r="O438" s="1076"/>
      <c r="P438" s="1076"/>
      <c r="Q438" s="1076"/>
      <c r="R438" s="1552"/>
      <c r="S438" s="1076"/>
      <c r="T438" s="1076"/>
      <c r="U438" s="480"/>
      <c r="V438" s="1076"/>
      <c r="W438" s="1076"/>
      <c r="X438" s="1076"/>
      <c r="Y438" s="1076"/>
      <c r="Z438" s="1076"/>
      <c r="AA438" s="1548"/>
      <c r="AB438" s="502"/>
      <c r="AC438" s="502"/>
      <c r="AD438" s="502"/>
      <c r="AE438" s="502"/>
      <c r="AF438" s="1557">
        <v>11</v>
      </c>
    </row>
    <row r="439" spans="1:32" ht="11.25">
      <c r="A439" s="910"/>
      <c r="B439" s="1552"/>
      <c r="C439" s="1552"/>
      <c r="D439" s="287"/>
      <c r="K439" s="1076"/>
      <c r="L439" s="1552"/>
      <c r="M439" s="1552"/>
      <c r="N439" s="1076"/>
      <c r="O439" s="1076"/>
      <c r="P439" s="1076"/>
      <c r="Q439" s="1076"/>
      <c r="R439" s="1552"/>
      <c r="S439" s="1076"/>
      <c r="T439" s="1076"/>
      <c r="U439" s="480"/>
      <c r="V439" s="1076"/>
      <c r="W439" s="1076"/>
      <c r="X439" s="1076"/>
      <c r="Y439" s="1076"/>
      <c r="Z439" s="1076"/>
      <c r="AA439" s="1548"/>
      <c r="AB439" s="502"/>
      <c r="AC439" s="502"/>
      <c r="AD439" s="502"/>
      <c r="AE439" s="502"/>
      <c r="AF439" s="1557">
        <v>11</v>
      </c>
    </row>
    <row r="440" spans="1:32" ht="11.25">
      <c r="A440" s="910"/>
      <c r="B440" s="1552"/>
      <c r="C440" s="1552"/>
      <c r="D440" s="287"/>
      <c r="K440" s="1076"/>
      <c r="L440" s="1552"/>
      <c r="M440" s="1552"/>
      <c r="N440" s="1076"/>
      <c r="O440" s="1076"/>
      <c r="P440" s="1076"/>
      <c r="Q440" s="1076"/>
      <c r="R440" s="1552"/>
      <c r="S440" s="1076"/>
      <c r="T440" s="1076"/>
      <c r="U440" s="480"/>
      <c r="V440" s="1076"/>
      <c r="W440" s="1076"/>
      <c r="X440" s="1076"/>
      <c r="Y440" s="1076"/>
      <c r="Z440" s="1076"/>
      <c r="AA440" s="1548"/>
      <c r="AB440" s="502"/>
      <c r="AC440" s="502"/>
      <c r="AD440" s="502"/>
      <c r="AE440" s="502"/>
      <c r="AF440" s="1557">
        <v>11</v>
      </c>
    </row>
    <row r="441" spans="1:32" ht="11.25">
      <c r="A441" s="910"/>
      <c r="B441" s="1552"/>
      <c r="C441" s="1552"/>
      <c r="D441" s="287"/>
      <c r="K441" s="1076"/>
      <c r="L441" s="1552"/>
      <c r="M441" s="1552"/>
      <c r="N441" s="1076"/>
      <c r="O441" s="1076"/>
      <c r="P441" s="1076"/>
      <c r="Q441" s="1076"/>
      <c r="R441" s="1552"/>
      <c r="S441" s="1076"/>
      <c r="T441" s="1076"/>
      <c r="U441" s="480"/>
      <c r="V441" s="1076"/>
      <c r="W441" s="1076"/>
      <c r="X441" s="1076"/>
      <c r="Y441" s="1076"/>
      <c r="Z441" s="1076"/>
      <c r="AA441" s="1548"/>
      <c r="AB441" s="502"/>
      <c r="AC441" s="502"/>
      <c r="AD441" s="502"/>
      <c r="AE441" s="502"/>
      <c r="AF441" s="1557">
        <v>11</v>
      </c>
    </row>
    <row r="442" spans="1:32" ht="11.25">
      <c r="A442" s="910"/>
      <c r="B442" s="1552"/>
      <c r="C442" s="1552"/>
      <c r="D442" s="287"/>
      <c r="K442" s="1076"/>
      <c r="L442" s="1552"/>
      <c r="M442" s="1552"/>
      <c r="N442" s="1076"/>
      <c r="O442" s="1076"/>
      <c r="P442" s="1076"/>
      <c r="Q442" s="1076"/>
      <c r="R442" s="1552"/>
      <c r="S442" s="1076"/>
      <c r="T442" s="1076"/>
      <c r="U442" s="480"/>
      <c r="V442" s="1076"/>
      <c r="W442" s="1076"/>
      <c r="X442" s="1076"/>
      <c r="Y442" s="1076"/>
      <c r="Z442" s="1076"/>
      <c r="AA442" s="1548"/>
      <c r="AB442" s="502"/>
      <c r="AC442" s="502"/>
      <c r="AD442" s="502"/>
      <c r="AE442" s="502"/>
      <c r="AF442" s="1557">
        <v>11</v>
      </c>
    </row>
    <row r="443" spans="1:32" ht="11.25">
      <c r="A443" s="910"/>
      <c r="B443" s="1552"/>
      <c r="C443" s="1552"/>
      <c r="D443" s="287"/>
      <c r="K443" s="1076"/>
      <c r="L443" s="1552"/>
      <c r="M443" s="1552"/>
      <c r="N443" s="1076"/>
      <c r="O443" s="1076"/>
      <c r="P443" s="1076"/>
      <c r="Q443" s="1076"/>
      <c r="R443" s="1552"/>
      <c r="S443" s="1076"/>
      <c r="T443" s="1076"/>
      <c r="U443" s="480"/>
      <c r="V443" s="1076"/>
      <c r="W443" s="1076"/>
      <c r="X443" s="1076"/>
      <c r="Y443" s="1076"/>
      <c r="Z443" s="1076"/>
      <c r="AA443" s="1548"/>
      <c r="AB443" s="502"/>
      <c r="AC443" s="502"/>
      <c r="AD443" s="502"/>
      <c r="AE443" s="502"/>
      <c r="AF443" s="1557">
        <v>11</v>
      </c>
    </row>
    <row r="444" spans="1:32" ht="11.25">
      <c r="A444" s="910"/>
      <c r="B444" s="1552"/>
      <c r="C444" s="1552"/>
      <c r="D444" s="287"/>
      <c r="K444" s="1076"/>
      <c r="L444" s="1552"/>
      <c r="M444" s="1552"/>
      <c r="N444" s="1076"/>
      <c r="O444" s="1076"/>
      <c r="P444" s="1076"/>
      <c r="Q444" s="1076"/>
      <c r="R444" s="1552"/>
      <c r="S444" s="1076"/>
      <c r="T444" s="1076"/>
      <c r="U444" s="480"/>
      <c r="V444" s="1076"/>
      <c r="W444" s="1076"/>
      <c r="X444" s="1076"/>
      <c r="Y444" s="1076"/>
      <c r="Z444" s="1076"/>
      <c r="AA444" s="1548"/>
      <c r="AB444" s="502"/>
      <c r="AC444" s="502"/>
      <c r="AD444" s="502"/>
      <c r="AE444" s="502"/>
      <c r="AF444" s="1557">
        <v>11</v>
      </c>
    </row>
    <row r="445" spans="1:32" ht="11.25">
      <c r="A445" s="910"/>
      <c r="B445" s="1552"/>
      <c r="C445" s="1552"/>
      <c r="D445" s="287"/>
      <c r="K445" s="1076"/>
      <c r="L445" s="1552"/>
      <c r="M445" s="1552"/>
      <c r="N445" s="1076"/>
      <c r="O445" s="1076"/>
      <c r="P445" s="1076"/>
      <c r="Q445" s="1076"/>
      <c r="R445" s="1552"/>
      <c r="S445" s="1076"/>
      <c r="T445" s="1076"/>
      <c r="U445" s="480"/>
      <c r="V445" s="1076"/>
      <c r="W445" s="1076"/>
      <c r="X445" s="1076"/>
      <c r="Y445" s="1076"/>
      <c r="Z445" s="1076"/>
      <c r="AA445" s="1548"/>
      <c r="AB445" s="502"/>
      <c r="AC445" s="502"/>
      <c r="AD445" s="502"/>
      <c r="AE445" s="502"/>
      <c r="AF445" s="1557">
        <v>11</v>
      </c>
    </row>
    <row r="446" spans="1:32" ht="11.25">
      <c r="A446" s="910"/>
      <c r="B446" s="1552"/>
      <c r="C446" s="1552"/>
      <c r="D446" s="287"/>
      <c r="K446" s="1076"/>
      <c r="L446" s="1552"/>
      <c r="M446" s="1552"/>
      <c r="N446" s="1076"/>
      <c r="O446" s="1076"/>
      <c r="P446" s="1076"/>
      <c r="Q446" s="1076"/>
      <c r="R446" s="1552"/>
      <c r="S446" s="1076"/>
      <c r="T446" s="1076"/>
      <c r="U446" s="480"/>
      <c r="V446" s="1076"/>
      <c r="W446" s="1076"/>
      <c r="X446" s="1076"/>
      <c r="Y446" s="1076"/>
      <c r="Z446" s="1076"/>
      <c r="AA446" s="1548"/>
      <c r="AB446" s="502"/>
      <c r="AC446" s="502"/>
      <c r="AD446" s="502"/>
      <c r="AE446" s="502"/>
      <c r="AF446" s="1557">
        <v>11</v>
      </c>
    </row>
    <row r="447" spans="1:32" ht="11.25">
      <c r="A447" s="910"/>
      <c r="B447" s="1552"/>
      <c r="C447" s="1552"/>
      <c r="D447" s="287"/>
      <c r="K447" s="1076"/>
      <c r="L447" s="1552"/>
      <c r="M447" s="1552"/>
      <c r="N447" s="1076"/>
      <c r="O447" s="1076"/>
      <c r="P447" s="1076"/>
      <c r="Q447" s="1076"/>
      <c r="R447" s="1552"/>
      <c r="S447" s="1076"/>
      <c r="T447" s="1076"/>
      <c r="U447" s="480"/>
      <c r="V447" s="1076"/>
      <c r="W447" s="1076"/>
      <c r="X447" s="1076"/>
      <c r="Y447" s="1076"/>
      <c r="Z447" s="1076"/>
      <c r="AA447" s="1548"/>
      <c r="AB447" s="502"/>
      <c r="AC447" s="502"/>
      <c r="AD447" s="502"/>
      <c r="AE447" s="502"/>
      <c r="AF447" s="1557">
        <v>11</v>
      </c>
    </row>
    <row r="448" spans="1:32" ht="11.25">
      <c r="A448" s="910"/>
      <c r="B448" s="1552"/>
      <c r="C448" s="1552"/>
      <c r="D448" s="287"/>
      <c r="K448" s="1076"/>
      <c r="L448" s="1552"/>
      <c r="M448" s="1552"/>
      <c r="N448" s="1076"/>
      <c r="O448" s="1076"/>
      <c r="P448" s="1076"/>
      <c r="Q448" s="1076"/>
      <c r="R448" s="1552"/>
      <c r="S448" s="1076"/>
      <c r="T448" s="1076"/>
      <c r="U448" s="480"/>
      <c r="V448" s="1076"/>
      <c r="W448" s="1076"/>
      <c r="X448" s="1076"/>
      <c r="Y448" s="1076"/>
      <c r="Z448" s="1076"/>
      <c r="AA448" s="1548"/>
      <c r="AB448" s="502"/>
      <c r="AC448" s="502"/>
      <c r="AD448" s="502"/>
      <c r="AE448" s="502"/>
      <c r="AF448" s="1557">
        <v>11</v>
      </c>
    </row>
    <row r="449" spans="1:32" ht="11.25">
      <c r="A449" s="910"/>
      <c r="B449" s="1552"/>
      <c r="C449" s="1552"/>
      <c r="D449" s="287"/>
      <c r="K449" s="1076"/>
      <c r="L449" s="1552"/>
      <c r="M449" s="1552"/>
      <c r="N449" s="1076"/>
      <c r="O449" s="1076"/>
      <c r="P449" s="1076"/>
      <c r="Q449" s="1076"/>
      <c r="R449" s="1552"/>
      <c r="S449" s="1076"/>
      <c r="T449" s="1076"/>
      <c r="U449" s="480"/>
      <c r="V449" s="1076"/>
      <c r="W449" s="1076"/>
      <c r="X449" s="1076"/>
      <c r="Y449" s="1076"/>
      <c r="Z449" s="1076"/>
      <c r="AA449" s="1548"/>
      <c r="AB449" s="502"/>
      <c r="AC449" s="502"/>
      <c r="AD449" s="502"/>
      <c r="AE449" s="502"/>
      <c r="AF449" s="1557">
        <v>11</v>
      </c>
    </row>
    <row r="450" spans="1:32" ht="11.25">
      <c r="A450" s="910"/>
      <c r="B450" s="1552"/>
      <c r="C450" s="1552"/>
      <c r="D450" s="287"/>
      <c r="K450" s="1076"/>
      <c r="L450" s="1552"/>
      <c r="M450" s="1552"/>
      <c r="N450" s="1076"/>
      <c r="O450" s="1076"/>
      <c r="P450" s="1076"/>
      <c r="Q450" s="1076"/>
      <c r="R450" s="1552"/>
      <c r="S450" s="1076"/>
      <c r="T450" s="1076"/>
      <c r="U450" s="480"/>
      <c r="V450" s="1076"/>
      <c r="W450" s="1076"/>
      <c r="X450" s="1076"/>
      <c r="Y450" s="1076"/>
      <c r="Z450" s="1076"/>
      <c r="AA450" s="1548"/>
      <c r="AB450" s="502"/>
      <c r="AC450" s="502"/>
      <c r="AD450" s="502"/>
      <c r="AE450" s="502"/>
      <c r="AF450" s="1557">
        <v>11</v>
      </c>
    </row>
    <row r="451" spans="1:32" ht="11.25">
      <c r="AF451" s="1547">
        <v>11</v>
      </c>
    </row>
    <row r="452" spans="1:32" ht="11.25">
      <c r="AF452" s="1547">
        <v>11</v>
      </c>
    </row>
    <row r="453" spans="1:32" ht="11.25">
      <c r="AF453" s="1547">
        <v>11</v>
      </c>
    </row>
    <row r="454" spans="1:32" ht="11.25">
      <c r="A454" s="913"/>
      <c r="B454" s="1547"/>
      <c r="D454" s="1547"/>
      <c r="K454" s="1547"/>
      <c r="N454" s="1547"/>
      <c r="O454" s="1547"/>
      <c r="P454" s="1547"/>
      <c r="Q454" s="1547"/>
      <c r="S454" s="1547"/>
      <c r="T454" s="1547"/>
      <c r="U454" s="1547"/>
      <c r="V454" s="1547"/>
      <c r="W454" s="1547"/>
      <c r="X454" s="1547"/>
      <c r="Y454" s="1547"/>
      <c r="Z454" s="1547"/>
      <c r="AA454" s="1547"/>
      <c r="AB454" s="1547"/>
      <c r="AC454" s="1547"/>
      <c r="AD454" s="1547"/>
      <c r="AE454" s="1547"/>
      <c r="AF454" s="1547">
        <v>11</v>
      </c>
    </row>
    <row r="455" spans="1:32" ht="11.25">
      <c r="A455" s="913"/>
      <c r="B455" s="1547"/>
      <c r="D455" s="1547"/>
      <c r="K455" s="1547"/>
      <c r="N455" s="1547"/>
      <c r="O455" s="1547"/>
      <c r="P455" s="1547"/>
      <c r="Q455" s="1547"/>
      <c r="S455" s="1547"/>
      <c r="T455" s="1547"/>
      <c r="U455" s="1547"/>
      <c r="V455" s="1547"/>
      <c r="W455" s="1547"/>
      <c r="X455" s="1547"/>
      <c r="Y455" s="1547"/>
      <c r="Z455" s="1547"/>
      <c r="AA455" s="1547"/>
      <c r="AB455" s="1547"/>
      <c r="AC455" s="1547"/>
      <c r="AD455" s="1547"/>
      <c r="AE455" s="1547"/>
      <c r="AF455" s="1547">
        <v>11</v>
      </c>
    </row>
    <row r="456" spans="1:32" ht="11.25">
      <c r="A456" s="913"/>
      <c r="B456" s="1547"/>
      <c r="D456" s="1547"/>
      <c r="K456" s="1547"/>
      <c r="N456" s="1547"/>
      <c r="O456" s="1547"/>
      <c r="P456" s="1547"/>
      <c r="Q456" s="1547"/>
      <c r="S456" s="1547"/>
      <c r="T456" s="1547"/>
      <c r="U456" s="1547"/>
      <c r="V456" s="1547"/>
      <c r="W456" s="1547"/>
      <c r="X456" s="1547"/>
      <c r="Y456" s="1547"/>
      <c r="Z456" s="1547"/>
      <c r="AA456" s="1547"/>
      <c r="AB456" s="1547"/>
      <c r="AC456" s="1547"/>
      <c r="AD456" s="1547"/>
      <c r="AE456" s="1547"/>
      <c r="AF456" s="1547">
        <v>11</v>
      </c>
    </row>
    <row r="457" spans="1:32" ht="11.25">
      <c r="A457" s="913"/>
      <c r="B457" s="1547"/>
      <c r="D457" s="1547"/>
      <c r="K457" s="1547"/>
      <c r="N457" s="1547"/>
      <c r="O457" s="1547"/>
      <c r="P457" s="1547"/>
      <c r="Q457" s="1547"/>
      <c r="S457" s="1547"/>
      <c r="T457" s="1547"/>
      <c r="U457" s="1547"/>
      <c r="V457" s="1547"/>
      <c r="W457" s="1547"/>
      <c r="X457" s="1547"/>
      <c r="Y457" s="1547"/>
      <c r="Z457" s="1547"/>
      <c r="AA457" s="1547"/>
      <c r="AB457" s="1547"/>
      <c r="AC457" s="1547"/>
      <c r="AD457" s="1547"/>
      <c r="AE457" s="1547"/>
      <c r="AF457" s="1547">
        <v>11</v>
      </c>
    </row>
    <row r="458" spans="1:32" ht="11.25">
      <c r="A458" s="913"/>
      <c r="B458" s="1547"/>
      <c r="D458" s="1547"/>
      <c r="K458" s="1547"/>
      <c r="N458" s="1547"/>
      <c r="O458" s="1547"/>
      <c r="P458" s="1547"/>
      <c r="Q458" s="1547"/>
      <c r="S458" s="1547"/>
      <c r="T458" s="1547"/>
      <c r="U458" s="1547"/>
      <c r="V458" s="1547"/>
      <c r="W458" s="1547"/>
      <c r="X458" s="1547"/>
      <c r="Y458" s="1547"/>
      <c r="Z458" s="1547"/>
      <c r="AA458" s="1547"/>
      <c r="AB458" s="1547"/>
      <c r="AC458" s="1547"/>
      <c r="AD458" s="1547"/>
      <c r="AE458" s="1547"/>
      <c r="AF458" s="1547">
        <v>11</v>
      </c>
    </row>
    <row r="459" spans="1:32" ht="11.25">
      <c r="A459" s="913"/>
      <c r="B459" s="1547"/>
      <c r="D459" s="1547"/>
      <c r="K459" s="1547"/>
      <c r="N459" s="1547"/>
      <c r="O459" s="1547"/>
      <c r="P459" s="1547"/>
      <c r="Q459" s="1547"/>
      <c r="S459" s="1547"/>
      <c r="T459" s="1547"/>
      <c r="U459" s="1547"/>
      <c r="V459" s="1547"/>
      <c r="W459" s="1547"/>
      <c r="X459" s="1547"/>
      <c r="Y459" s="1547"/>
      <c r="Z459" s="1547"/>
      <c r="AA459" s="1547"/>
      <c r="AB459" s="1547"/>
      <c r="AC459" s="1547"/>
      <c r="AD459" s="1547"/>
      <c r="AE459" s="1547"/>
      <c r="AF459" s="1547">
        <v>11</v>
      </c>
    </row>
    <row r="460" spans="1:32" ht="11.25">
      <c r="A460" s="913"/>
      <c r="B460" s="1547"/>
      <c r="D460" s="1547"/>
      <c r="K460" s="1547"/>
      <c r="N460" s="1547"/>
      <c r="O460" s="1547"/>
      <c r="P460" s="1547"/>
      <c r="Q460" s="1547"/>
      <c r="S460" s="1547"/>
      <c r="T460" s="1547"/>
      <c r="U460" s="1547"/>
      <c r="V460" s="1547"/>
      <c r="W460" s="1547"/>
      <c r="X460" s="1547"/>
      <c r="Y460" s="1547"/>
      <c r="Z460" s="1547"/>
      <c r="AA460" s="1547"/>
      <c r="AB460" s="1547"/>
      <c r="AC460" s="1547"/>
      <c r="AD460" s="1547"/>
      <c r="AE460" s="1547"/>
      <c r="AF460" s="1547">
        <v>11</v>
      </c>
    </row>
    <row r="461" spans="1:32" ht="11.25">
      <c r="A461" s="913"/>
      <c r="B461" s="1547"/>
      <c r="D461" s="1547"/>
      <c r="K461" s="1547"/>
      <c r="N461" s="1547"/>
      <c r="O461" s="1547"/>
      <c r="P461" s="1547"/>
      <c r="Q461" s="1547"/>
      <c r="S461" s="1547"/>
      <c r="T461" s="1547"/>
      <c r="U461" s="1547"/>
      <c r="V461" s="1547"/>
      <c r="W461" s="1547"/>
      <c r="X461" s="1547"/>
      <c r="Y461" s="1547"/>
      <c r="Z461" s="1547"/>
      <c r="AA461" s="1547"/>
      <c r="AB461" s="1547"/>
      <c r="AC461" s="1547"/>
      <c r="AD461" s="1547"/>
      <c r="AE461" s="1547"/>
      <c r="AF461" s="1547">
        <v>11</v>
      </c>
    </row>
    <row r="462" spans="1:32" ht="11.25">
      <c r="A462" s="913"/>
      <c r="B462" s="1547"/>
      <c r="D462" s="1547"/>
      <c r="K462" s="1547"/>
      <c r="N462" s="1547"/>
      <c r="O462" s="1547"/>
      <c r="P462" s="1547"/>
      <c r="Q462" s="1547"/>
      <c r="S462" s="1547"/>
      <c r="T462" s="1547"/>
      <c r="U462" s="1547"/>
      <c r="V462" s="1547"/>
      <c r="W462" s="1547"/>
      <c r="X462" s="1547"/>
      <c r="Y462" s="1547"/>
      <c r="Z462" s="1547"/>
      <c r="AA462" s="1547"/>
      <c r="AB462" s="1547"/>
      <c r="AC462" s="1547"/>
      <c r="AD462" s="1547"/>
      <c r="AE462" s="1547"/>
      <c r="AF462" s="1547">
        <v>11</v>
      </c>
    </row>
    <row r="463" spans="1:32" ht="11.25">
      <c r="A463" s="913"/>
      <c r="B463" s="1547"/>
      <c r="D463" s="1547"/>
      <c r="K463" s="1547"/>
      <c r="N463" s="1547"/>
      <c r="O463" s="1547"/>
      <c r="P463" s="1547"/>
      <c r="Q463" s="1547"/>
      <c r="S463" s="1547"/>
      <c r="T463" s="1547"/>
      <c r="U463" s="1547"/>
      <c r="V463" s="1547"/>
      <c r="W463" s="1547"/>
      <c r="X463" s="1547"/>
      <c r="Y463" s="1547"/>
      <c r="Z463" s="1547"/>
      <c r="AA463" s="1547"/>
      <c r="AB463" s="1547"/>
      <c r="AC463" s="1547"/>
      <c r="AD463" s="1547"/>
      <c r="AE463" s="1547"/>
      <c r="AF463" s="1547">
        <v>11</v>
      </c>
    </row>
    <row r="464" spans="1:32" ht="11.25">
      <c r="A464" s="913"/>
      <c r="B464" s="1547"/>
      <c r="D464" s="1547"/>
      <c r="K464" s="1547"/>
      <c r="N464" s="1547"/>
      <c r="O464" s="1547"/>
      <c r="P464" s="1547"/>
      <c r="Q464" s="1547"/>
      <c r="S464" s="1547"/>
      <c r="T464" s="1547"/>
      <c r="U464" s="1547"/>
      <c r="V464" s="1547"/>
      <c r="W464" s="1547"/>
      <c r="X464" s="1547"/>
      <c r="Y464" s="1547"/>
      <c r="Z464" s="1547"/>
      <c r="AA464" s="1547"/>
      <c r="AB464" s="1547"/>
      <c r="AC464" s="1547"/>
      <c r="AD464" s="1547"/>
      <c r="AE464" s="1547"/>
      <c r="AF464" s="1547">
        <v>11</v>
      </c>
    </row>
    <row r="465" spans="1:32" ht="18">
      <c r="A465" s="910" t="s">
        <v>82</v>
      </c>
      <c r="B465" s="1076">
        <v>0</v>
      </c>
      <c r="C465" s="1552">
        <v>0</v>
      </c>
      <c r="D465" s="1551">
        <v>3</v>
      </c>
      <c r="E465" s="1547">
        <v>7</v>
      </c>
      <c r="F465" s="1547">
        <v>54</v>
      </c>
      <c r="G465" s="1547">
        <v>10</v>
      </c>
      <c r="H465" s="1547">
        <v>0</v>
      </c>
      <c r="I465" s="1547">
        <v>40</v>
      </c>
      <c r="J465" s="1547">
        <v>102</v>
      </c>
      <c r="K465" s="1076">
        <v>9</v>
      </c>
      <c r="L465" s="1552">
        <v>5</v>
      </c>
      <c r="M465" s="1552">
        <v>3</v>
      </c>
      <c r="N465" s="1076">
        <v>3</v>
      </c>
      <c r="O465" s="1076">
        <v>3</v>
      </c>
      <c r="P465" s="1076">
        <v>3</v>
      </c>
      <c r="Q465" s="1076">
        <v>3</v>
      </c>
      <c r="R465" s="1552">
        <v>10</v>
      </c>
      <c r="S465" s="1076">
        <v>34</v>
      </c>
      <c r="T465" s="1076">
        <v>9</v>
      </c>
      <c r="U465" s="480">
        <v>8</v>
      </c>
      <c r="V465" s="1076">
        <v>8</v>
      </c>
      <c r="W465" s="1076">
        <v>8</v>
      </c>
      <c r="X465" s="1076">
        <v>8</v>
      </c>
      <c r="Y465" s="1076">
        <v>8</v>
      </c>
      <c r="Z465" s="1076">
        <v>8</v>
      </c>
      <c r="AA465" s="1548">
        <v>8</v>
      </c>
      <c r="AB465" s="1548">
        <v>8</v>
      </c>
      <c r="AC465" s="1548">
        <v>8</v>
      </c>
      <c r="AD465" s="1548">
        <v>8</v>
      </c>
      <c r="AE465" s="1548">
        <v>8</v>
      </c>
      <c r="AF465" s="154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349" hidden="1" customWidth="1"/>
    <col min="2" max="2" width="17" style="2370" hidden="1" customWidth="1"/>
    <col min="3" max="3" width="3" style="2360" customWidth="1"/>
    <col min="4" max="4" width="1.85546875" style="2360" hidden="1" customWidth="1"/>
    <col min="5" max="6" width="7" style="2360" customWidth="1"/>
    <col min="7" max="7" width="29" style="2360" customWidth="1"/>
    <col min="8" max="8" width="3.7109375" style="2360" customWidth="1"/>
    <col min="9" max="9" width="5" style="2360" customWidth="1"/>
    <col min="10" max="11" width="24" style="2360" customWidth="1"/>
    <col min="12" max="12" width="3" style="2360" customWidth="1"/>
    <col min="13" max="13" width="6" style="2360" customWidth="1"/>
    <col min="14" max="14" width="25" style="2360" customWidth="1"/>
    <col min="15" max="18" width="18" style="2360" customWidth="1"/>
    <col min="19" max="19" width="93" style="2360" customWidth="1"/>
    <col min="20" max="20" width="10" style="2360" customWidth="1"/>
    <col min="21" max="21" width="10" style="2344" customWidth="1"/>
    <col min="22" max="22" width="11" style="2344" customWidth="1"/>
    <col min="23" max="27" width="10" style="2370" customWidth="1"/>
    <col min="28" max="83" width="8" style="2360" customWidth="1"/>
    <col min="84" max="84" width="9.140625" style="236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78"/>
      <c r="E5" s="2544" t="str">
        <f>FHD20_NAME_FORM</f>
        <v>Форма 11. Информация о расходах на капитальный и текущий ремонт основных средств</v>
      </c>
      <c r="F5" s="2544"/>
      <c r="G5" s="2544"/>
      <c r="H5" s="2544"/>
      <c r="I5" s="2544"/>
      <c r="J5" s="2544"/>
      <c r="K5" s="2544"/>
      <c r="L5" s="549"/>
      <c r="M5" s="549"/>
      <c r="CF5" s="441">
        <v>28</v>
      </c>
    </row>
    <row r="6" spans="1:84" s="2360" customFormat="1" ht="16.899999999999999" customHeight="1">
      <c r="A6" s="546"/>
      <c r="B6" s="693"/>
      <c r="C6" s="445"/>
      <c r="D6" s="979"/>
      <c r="E6" s="2516" t="str">
        <f>IF(org=0,"Не определено",org)</f>
        <v>ООО "Пятигорсктеплосервис"</v>
      </c>
      <c r="F6" s="2516"/>
      <c r="G6" s="2516"/>
      <c r="H6" s="2516"/>
      <c r="I6" s="2516"/>
      <c r="J6" s="2516"/>
      <c r="K6" s="251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335" customFormat="1" ht="4.1500000000000004" customHeight="1">
      <c r="A8" s="557"/>
      <c r="B8" s="502"/>
      <c r="C8" s="287"/>
      <c r="D8" s="287"/>
      <c r="E8" s="287"/>
      <c r="F8" s="287"/>
      <c r="G8" s="899"/>
      <c r="H8" s="899"/>
      <c r="I8" s="899"/>
      <c r="J8" s="899"/>
      <c r="K8" s="940"/>
      <c r="L8" s="940"/>
      <c r="M8" s="940"/>
      <c r="R8" s="941"/>
      <c r="U8" s="547"/>
      <c r="V8" s="547"/>
      <c r="W8" s="558"/>
      <c r="X8" s="502"/>
      <c r="Y8" s="502"/>
      <c r="Z8" s="502"/>
      <c r="AA8" s="502"/>
      <c r="CF8" s="432">
        <v>4</v>
      </c>
    </row>
    <row r="9" spans="1:84" ht="19.899999999999999" customHeight="1">
      <c r="D9" s="226"/>
      <c r="E9" s="2417" t="s">
        <v>299</v>
      </c>
      <c r="F9" s="2422"/>
      <c r="G9" s="2422"/>
      <c r="H9" s="2422"/>
      <c r="I9" s="2422"/>
      <c r="J9" s="2422"/>
      <c r="K9" s="2422"/>
      <c r="L9" s="2422"/>
      <c r="M9" s="2422"/>
      <c r="N9" s="2422"/>
      <c r="O9" s="2422"/>
      <c r="P9" s="2422"/>
      <c r="Q9" s="2422"/>
      <c r="R9" s="2416"/>
      <c r="S9" s="2435" t="s">
        <v>300</v>
      </c>
      <c r="T9" s="271"/>
      <c r="CF9" s="441">
        <v>19</v>
      </c>
    </row>
    <row r="10" spans="1:84" ht="48.2" customHeight="1">
      <c r="D10" s="487" t="s">
        <v>88</v>
      </c>
      <c r="E10" s="2435" t="s">
        <v>88</v>
      </c>
      <c r="F10" s="2435"/>
      <c r="G10" s="457" t="s">
        <v>301</v>
      </c>
      <c r="H10" s="2435" t="s">
        <v>88</v>
      </c>
      <c r="I10" s="2435"/>
      <c r="J10" s="457" t="s">
        <v>689</v>
      </c>
      <c r="K10" s="457" t="s">
        <v>690</v>
      </c>
      <c r="L10" s="2435" t="s">
        <v>88</v>
      </c>
      <c r="M10" s="2435"/>
      <c r="N10" s="457" t="s">
        <v>691</v>
      </c>
      <c r="O10" s="457" t="s">
        <v>692</v>
      </c>
      <c r="P10" s="457" t="s">
        <v>693</v>
      </c>
      <c r="Q10" s="457" t="s">
        <v>694</v>
      </c>
      <c r="R10" s="457" t="s">
        <v>695</v>
      </c>
      <c r="S10" s="2435"/>
      <c r="T10" s="271"/>
      <c r="CF10" s="441">
        <v>46</v>
      </c>
    </row>
    <row r="11" spans="1:84" s="2344" customFormat="1" ht="15" hidden="1" customHeight="1">
      <c r="A11" s="974"/>
      <c r="D11" s="947" t="s">
        <v>109</v>
      </c>
      <c r="E11" s="947"/>
      <c r="F11" s="947" t="s">
        <v>110</v>
      </c>
      <c r="G11" s="947" t="s">
        <v>90</v>
      </c>
      <c r="H11" s="947"/>
      <c r="I11" s="947" t="s">
        <v>91</v>
      </c>
      <c r="J11" s="947" t="s">
        <v>111</v>
      </c>
      <c r="K11" s="947" t="s">
        <v>92</v>
      </c>
      <c r="L11" s="947"/>
      <c r="M11" s="947" t="s">
        <v>93</v>
      </c>
      <c r="N11" s="947" t="s">
        <v>112</v>
      </c>
      <c r="O11" s="947" t="s">
        <v>149</v>
      </c>
      <c r="P11" s="947" t="s">
        <v>150</v>
      </c>
      <c r="Q11" s="947" t="s">
        <v>151</v>
      </c>
      <c r="R11" s="947" t="s">
        <v>152</v>
      </c>
      <c r="S11" s="947" t="s">
        <v>153</v>
      </c>
      <c r="U11" s="547"/>
      <c r="V11" s="547"/>
      <c r="W11" s="547"/>
      <c r="CF11" s="447">
        <v>0</v>
      </c>
    </row>
    <row r="12" spans="1:84" s="2360" customFormat="1" ht="1.1499999999999999" customHeight="1">
      <c r="A12" s="551"/>
      <c r="B12" s="298"/>
      <c r="D12" s="484"/>
      <c r="E12" s="283"/>
      <c r="F12" s="283"/>
      <c r="Q12" s="552"/>
      <c r="R12" s="553"/>
      <c r="T12" s="554"/>
      <c r="U12" s="555"/>
      <c r="V12" s="555"/>
      <c r="W12" s="556"/>
      <c r="X12" s="298"/>
      <c r="Y12" s="298"/>
      <c r="Z12" s="298"/>
      <c r="AA12" s="298"/>
      <c r="CF12" s="445">
        <v>1</v>
      </c>
    </row>
    <row r="13" spans="1:84" s="2335"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398" customFormat="1" ht="15" hidden="1" customHeight="1">
      <c r="A14" s="559" t="s">
        <v>117</v>
      </c>
      <c r="B14" s="560"/>
      <c r="C14" s="560"/>
      <c r="D14" s="2648" t="s">
        <v>109</v>
      </c>
      <c r="E14" s="2655" t="s">
        <v>105</v>
      </c>
      <c r="F14" s="2656"/>
      <c r="G14" s="2657"/>
      <c r="H14" s="2651" t="str">
        <f>IF(A14="","",INDEX(DIFFERENTIATION_UNMERGE_VD,MATCH(A14,DIFFERENTIATION_ID_DIFF,0)))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14" s="2651"/>
      <c r="J14" s="2651"/>
      <c r="K14" s="2651"/>
      <c r="L14" s="2651"/>
      <c r="M14" s="2651"/>
      <c r="N14" s="2651"/>
      <c r="O14" s="2651"/>
      <c r="P14" s="2651"/>
      <c r="Q14" s="2651"/>
      <c r="R14" s="2651"/>
      <c r="S14" s="655"/>
      <c r="T14" s="652"/>
      <c r="U14" s="561"/>
      <c r="V14" s="561"/>
      <c r="W14" s="562"/>
      <c r="X14" s="562"/>
      <c r="Y14" s="562"/>
      <c r="Z14" s="562"/>
      <c r="AA14" s="563"/>
      <c r="AB14" s="564"/>
      <c r="AC14" s="2654"/>
      <c r="AD14" s="565"/>
      <c r="AE14" s="566" t="s">
        <v>22</v>
      </c>
      <c r="AF14" s="566"/>
      <c r="AG14" s="567" t="s">
        <v>696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398" customFormat="1" ht="15" hidden="1" customHeight="1">
      <c r="A15" s="559"/>
      <c r="B15" s="560"/>
      <c r="C15" s="560"/>
      <c r="D15" s="2649"/>
      <c r="E15" s="2655" t="s">
        <v>563</v>
      </c>
      <c r="F15" s="2656"/>
      <c r="G15" s="2657"/>
      <c r="H15" s="2651" t="str">
        <f>IF(A14="","",INDEX(DIFFERENTIATION_UNMERGE_AREA,MATCH(A14,DIFFERENTIATION_ID_DIFF,0)))</f>
        <v>без дифференциации</v>
      </c>
      <c r="I15" s="2651"/>
      <c r="J15" s="2651"/>
      <c r="K15" s="2651"/>
      <c r="L15" s="2651"/>
      <c r="M15" s="2651"/>
      <c r="N15" s="2651"/>
      <c r="O15" s="2651"/>
      <c r="P15" s="2651"/>
      <c r="Q15" s="2651"/>
      <c r="R15" s="2651"/>
      <c r="S15" s="655"/>
      <c r="T15" s="652"/>
      <c r="U15" s="561"/>
      <c r="V15" s="561"/>
      <c r="W15" s="562"/>
      <c r="X15" s="562"/>
      <c r="Y15" s="562"/>
      <c r="Z15" s="562"/>
      <c r="AA15" s="563"/>
      <c r="AB15" s="564"/>
      <c r="AC15" s="265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398" customFormat="1" ht="15" hidden="1" customHeight="1">
      <c r="A16" s="559"/>
      <c r="B16" s="560"/>
      <c r="C16" s="560"/>
      <c r="D16" s="2649"/>
      <c r="E16" s="2655" t="s">
        <v>564</v>
      </c>
      <c r="F16" s="2656"/>
      <c r="G16" s="2657"/>
      <c r="H16" s="2651" t="str">
        <f>IF(A14="","",INDEX(DIFFERENTIATION_UNMERGE_SYSTEM,MATCH(A14,DIFFERENTIATION_ID_DIFF,0)))</f>
        <v>без дифференциации</v>
      </c>
      <c r="I16" s="2651"/>
      <c r="J16" s="2651"/>
      <c r="K16" s="2651"/>
      <c r="L16" s="2651"/>
      <c r="M16" s="2651"/>
      <c r="N16" s="2651"/>
      <c r="O16" s="2651"/>
      <c r="P16" s="2651"/>
      <c r="Q16" s="2651"/>
      <c r="R16" s="2651"/>
      <c r="S16" s="655"/>
      <c r="T16" s="652"/>
      <c r="U16" s="561"/>
      <c r="V16" s="561"/>
      <c r="W16" s="562"/>
      <c r="X16" s="562"/>
      <c r="Y16" s="562"/>
      <c r="Z16" s="562"/>
      <c r="AA16" s="563"/>
      <c r="AB16" s="564"/>
      <c r="AC16" s="265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398" customFormat="1" ht="22.5" hidden="1" customHeight="1">
      <c r="A17" s="569"/>
      <c r="B17" s="353"/>
      <c r="C17" s="348"/>
      <c r="D17" s="2649"/>
      <c r="E17" s="2653" t="s">
        <v>697</v>
      </c>
      <c r="F17" s="2653"/>
      <c r="G17" s="2653"/>
      <c r="H17" s="2653"/>
      <c r="I17" s="2653"/>
      <c r="J17" s="2653"/>
      <c r="K17" s="2653"/>
      <c r="L17" s="2653"/>
      <c r="M17" s="2653"/>
      <c r="N17" s="2653"/>
      <c r="O17" s="2653"/>
      <c r="P17" s="2653"/>
      <c r="Q17" s="494">
        <f>SUMIF(T18:T19,"i",Q18:Q19)</f>
        <v>0</v>
      </c>
      <c r="R17" s="939"/>
      <c r="S17" s="822" t="s">
        <v>698</v>
      </c>
      <c r="T17" s="653" t="s">
        <v>699</v>
      </c>
      <c r="U17" s="2567">
        <v>1</v>
      </c>
      <c r="V17" s="2567" t="str">
        <f>INDEX(B_FHD_FLAG_INDEX_1,1,MATCH($A$14,B_FHD_FLAG_DIFFERENTIATION,0))</f>
        <v>отсутствует</v>
      </c>
      <c r="W17" s="353"/>
      <c r="X17" s="353"/>
      <c r="Y17" s="353"/>
      <c r="Z17" s="353"/>
      <c r="AA17" s="447"/>
      <c r="AB17" s="353"/>
      <c r="AC17" s="265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398" customFormat="1" ht="11.25" hidden="1" customHeight="1">
      <c r="A18" s="570"/>
      <c r="B18" s="447"/>
      <c r="C18" s="447"/>
      <c r="D18" s="2649"/>
      <c r="E18" s="571"/>
      <c r="F18" s="571">
        <v>0</v>
      </c>
      <c r="G18" s="571"/>
      <c r="H18" s="571"/>
      <c r="I18" s="571"/>
      <c r="J18" s="571"/>
      <c r="K18" s="571"/>
      <c r="L18" s="571"/>
      <c r="M18" s="571"/>
      <c r="N18" s="571"/>
      <c r="O18" s="571"/>
      <c r="P18" s="571"/>
      <c r="Q18" s="571"/>
      <c r="R18" s="571"/>
      <c r="S18" s="572"/>
      <c r="T18" s="654"/>
      <c r="U18" s="2567"/>
      <c r="V18" s="2567"/>
      <c r="W18" s="447"/>
      <c r="X18" s="447"/>
      <c r="Y18" s="447"/>
      <c r="Z18" s="447"/>
      <c r="AA18" s="447"/>
      <c r="AB18" s="353"/>
      <c r="AC18" s="265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398" customFormat="1" ht="11.25" hidden="1" customHeight="1">
      <c r="A19" s="569"/>
      <c r="B19" s="353"/>
      <c r="C19" s="348"/>
      <c r="D19" s="2649"/>
      <c r="E19" s="585" t="s">
        <v>22</v>
      </c>
      <c r="F19" s="586" t="s">
        <v>22</v>
      </c>
      <c r="G19" s="586" t="s">
        <v>22</v>
      </c>
      <c r="H19" s="587" t="s">
        <v>22</v>
      </c>
      <c r="I19" s="587"/>
      <c r="J19" s="587"/>
      <c r="K19" s="587"/>
      <c r="L19" s="587"/>
      <c r="M19" s="587"/>
      <c r="N19" s="587"/>
      <c r="O19" s="587"/>
      <c r="P19" s="587"/>
      <c r="Q19" s="587"/>
      <c r="R19" s="588"/>
      <c r="S19" s="942"/>
      <c r="T19" s="654"/>
      <c r="U19" s="2567"/>
      <c r="V19" s="2567"/>
      <c r="W19" s="353"/>
      <c r="X19" s="353"/>
      <c r="Y19" s="353"/>
      <c r="Z19" s="353"/>
      <c r="AA19" s="447"/>
      <c r="AB19" s="353"/>
      <c r="AC19" s="265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398" customFormat="1" ht="22.5" hidden="1" customHeight="1">
      <c r="A20" s="569"/>
      <c r="B20" s="353"/>
      <c r="C20" s="348"/>
      <c r="D20" s="2649"/>
      <c r="E20" s="2653" t="s">
        <v>700</v>
      </c>
      <c r="F20" s="2653"/>
      <c r="G20" s="2653"/>
      <c r="H20" s="2653"/>
      <c r="I20" s="2653"/>
      <c r="J20" s="2653"/>
      <c r="K20" s="2653"/>
      <c r="L20" s="2653"/>
      <c r="M20" s="2653"/>
      <c r="N20" s="2653"/>
      <c r="O20" s="2653"/>
      <c r="P20" s="2653"/>
      <c r="Q20" s="494">
        <f>SUMIF(T21:T22,"i",Q21:Q22)</f>
        <v>0</v>
      </c>
      <c r="R20" s="939"/>
      <c r="S20" s="645" t="s">
        <v>701</v>
      </c>
      <c r="T20" s="653" t="s">
        <v>699</v>
      </c>
      <c r="U20" s="2567">
        <v>2</v>
      </c>
      <c r="V20" s="256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398" customFormat="1" ht="11.25" hidden="1" customHeight="1">
      <c r="A21" s="644"/>
      <c r="B21" s="447"/>
      <c r="C21" s="447"/>
      <c r="D21" s="2649"/>
      <c r="E21" s="571"/>
      <c r="F21" s="571">
        <v>0</v>
      </c>
      <c r="G21" s="571"/>
      <c r="H21" s="571"/>
      <c r="I21" s="571"/>
      <c r="J21" s="571"/>
      <c r="K21" s="571"/>
      <c r="L21" s="571"/>
      <c r="M21" s="571"/>
      <c r="N21" s="571"/>
      <c r="O21" s="571"/>
      <c r="P21" s="571"/>
      <c r="Q21" s="571"/>
      <c r="R21" s="571"/>
      <c r="S21" s="572"/>
      <c r="T21" s="654"/>
      <c r="U21" s="2567"/>
      <c r="V21" s="256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398" customFormat="1" ht="11.25" hidden="1" customHeight="1">
      <c r="A22" s="569"/>
      <c r="B22" s="353"/>
      <c r="C22" s="348"/>
      <c r="D22" s="2650"/>
      <c r="E22" s="585" t="s">
        <v>22</v>
      </c>
      <c r="F22" s="586" t="s">
        <v>22</v>
      </c>
      <c r="G22" s="586" t="s">
        <v>22</v>
      </c>
      <c r="H22" s="587" t="s">
        <v>22</v>
      </c>
      <c r="I22" s="587"/>
      <c r="J22" s="587"/>
      <c r="K22" s="587"/>
      <c r="L22" s="587"/>
      <c r="M22" s="587"/>
      <c r="N22" s="587"/>
      <c r="O22" s="587"/>
      <c r="P22" s="587"/>
      <c r="Q22" s="587"/>
      <c r="R22" s="588"/>
      <c r="S22" s="942"/>
      <c r="T22" s="654"/>
      <c r="U22" s="2567"/>
      <c r="V22" s="256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69"/>
      <c r="E23" s="969"/>
      <c r="F23" s="969"/>
      <c r="G23" s="969"/>
      <c r="H23" s="969"/>
      <c r="I23" s="969"/>
      <c r="J23" s="969"/>
      <c r="K23" s="969"/>
      <c r="L23" s="969"/>
      <c r="M23" s="969"/>
      <c r="N23" s="969"/>
      <c r="O23" s="969"/>
      <c r="P23" s="969"/>
      <c r="Q23" s="969"/>
      <c r="R23" s="969"/>
      <c r="S23" s="969"/>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52"/>
      <c r="F27" s="2652"/>
      <c r="G27" s="2652"/>
      <c r="H27" s="2652"/>
      <c r="I27" s="2652"/>
      <c r="J27" s="2652"/>
      <c r="K27" s="2652"/>
      <c r="L27" s="2652"/>
      <c r="M27" s="2652"/>
      <c r="N27" s="2652"/>
      <c r="O27" s="2652"/>
      <c r="P27" s="2652"/>
      <c r="Q27" s="2652"/>
      <c r="R27" s="2652"/>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343" hidden="1" customWidth="1"/>
    <col min="6" max="6" width="16.85546875" style="2357" hidden="1" customWidth="1"/>
    <col min="7" max="7" width="5.5703125" style="2344" hidden="1" customWidth="1"/>
    <col min="8" max="8" width="3" style="2360" customWidth="1"/>
    <col min="9" max="9" width="7" style="2360" customWidth="1"/>
    <col min="10" max="10" width="56" style="2360" customWidth="1"/>
    <col min="11" max="11" width="10" style="2360" customWidth="1"/>
    <col min="12" max="12" width="40.5703125" style="2360" hidden="1" customWidth="1"/>
    <col min="13" max="13" width="40.7109375" style="2360" customWidth="1"/>
    <col min="14" max="14" width="9.7109375" style="2357" hidden="1" customWidth="1"/>
    <col min="15" max="15" width="102" style="2360" customWidth="1"/>
    <col min="16" max="16" width="9" style="2357" customWidth="1"/>
    <col min="17" max="17" width="5" style="2344" customWidth="1"/>
    <col min="18" max="18" width="3" style="2344" customWidth="1"/>
    <col min="19" max="22" width="3" style="2357" customWidth="1"/>
    <col min="23" max="23" width="10" style="2344" customWidth="1"/>
    <col min="24" max="24" width="34" style="2357" customWidth="1"/>
    <col min="25" max="25" width="9" style="2357" customWidth="1"/>
    <col min="26" max="26" width="8" style="2345" customWidth="1"/>
    <col min="27" max="31" width="8" style="2357" customWidth="1"/>
    <col min="32" max="36" width="8" style="2370" customWidth="1"/>
    <col min="37" max="37" width="5.42578125" style="2360" hidden="1" customWidth="1"/>
  </cols>
  <sheetData>
    <row r="1" spans="1:37" s="2357" customFormat="1" ht="33.75" hidden="1" customHeight="1">
      <c r="A1" s="910"/>
      <c r="B1" s="910"/>
      <c r="C1" s="910"/>
      <c r="D1" s="910"/>
      <c r="E1" s="910"/>
      <c r="G1" s="1552"/>
      <c r="H1" s="804"/>
      <c r="L1" s="1282">
        <v>4</v>
      </c>
      <c r="M1" s="1282">
        <v>4</v>
      </c>
      <c r="Q1" s="1552"/>
      <c r="R1" s="1552"/>
      <c r="W1" s="1552"/>
      <c r="AK1" s="1282" t="s">
        <v>14</v>
      </c>
    </row>
    <row r="2" spans="1:37" s="2357" customFormat="1" ht="78.75" hidden="1" customHeight="1">
      <c r="A2" s="910"/>
      <c r="B2" s="1962" t="s">
        <v>702</v>
      </c>
      <c r="C2" s="1962" t="s">
        <v>703</v>
      </c>
      <c r="D2" s="1961" t="s">
        <v>704</v>
      </c>
      <c r="E2" s="1965" t="e">
        <f>RIGHT(I2,LEN(I2)-SEARCH("#",SUBSTITUTE(I2,".","#",LEN(I2)-LEN(SUBSTITUTE(I2,".","")))))</f>
        <v>#VALUE!</v>
      </c>
      <c r="F2" s="1967">
        <f>J2</f>
        <v>0</v>
      </c>
      <c r="G2" s="1552"/>
      <c r="H2" s="1968"/>
      <c r="I2" s="1958"/>
      <c r="J2" s="476"/>
      <c r="K2" s="1928" t="s">
        <v>555</v>
      </c>
      <c r="L2" s="687"/>
      <c r="M2" s="687"/>
      <c r="N2" s="479"/>
      <c r="O2" s="1441" t="s">
        <v>556</v>
      </c>
      <c r="P2" s="479"/>
      <c r="Q2" s="1552"/>
      <c r="R2" s="1552"/>
      <c r="W2" s="1552"/>
      <c r="Z2" s="480"/>
      <c r="AF2" s="1548"/>
      <c r="AG2" s="1548"/>
      <c r="AH2" s="1548"/>
      <c r="AI2" s="1548"/>
      <c r="AJ2" s="1548"/>
      <c r="AK2" s="1282">
        <v>0</v>
      </c>
    </row>
    <row r="3" spans="1:37" ht="11.25" hidden="1" customHeight="1">
      <c r="E3" s="1960" t="s">
        <v>705</v>
      </c>
      <c r="L3" s="1547">
        <f>0</f>
        <v>0</v>
      </c>
      <c r="M3" s="1547">
        <v>1</v>
      </c>
      <c r="AK3" s="1547">
        <v>0</v>
      </c>
    </row>
    <row r="4" spans="1:37" s="2370" customFormat="1" ht="11.25" hidden="1" customHeight="1">
      <c r="A4" s="910"/>
      <c r="B4" s="910"/>
      <c r="C4" s="910"/>
      <c r="E4" s="910"/>
      <c r="F4" s="1282"/>
      <c r="G4" s="1552"/>
      <c r="H4" s="556"/>
      <c r="N4" s="1282"/>
      <c r="O4" s="1548">
        <v>4</v>
      </c>
      <c r="P4" s="1282"/>
      <c r="Q4" s="1552"/>
      <c r="R4" s="1552"/>
      <c r="S4" s="1282"/>
      <c r="T4" s="1282"/>
      <c r="U4" s="1282"/>
      <c r="V4" s="1282"/>
      <c r="W4" s="1552"/>
      <c r="X4" s="1282"/>
      <c r="Y4" s="1282"/>
      <c r="Z4" s="480"/>
      <c r="AA4" s="1282"/>
      <c r="AB4" s="1282"/>
      <c r="AC4" s="1282"/>
      <c r="AD4" s="1282"/>
      <c r="AE4" s="1282"/>
      <c r="AK4" s="1548">
        <v>0</v>
      </c>
    </row>
    <row r="5" spans="1:37" ht="11.45" customHeight="1">
      <c r="AK5" s="1547">
        <v>11</v>
      </c>
    </row>
    <row r="6" spans="1:37" ht="57.75" customHeight="1">
      <c r="I6" s="2493" t="s">
        <v>706</v>
      </c>
      <c r="J6" s="2493"/>
      <c r="K6" s="2493"/>
      <c r="L6" s="2493"/>
      <c r="M6" s="2493"/>
      <c r="O6" s="492"/>
      <c r="AK6" s="1547">
        <v>55</v>
      </c>
    </row>
    <row r="7" spans="1:37" ht="25.15" customHeight="1">
      <c r="I7" s="2516" t="str">
        <f>IF(org=0,"Не определено",org)</f>
        <v>ООО "Пятигорсктеплосервис"</v>
      </c>
      <c r="J7" s="2516"/>
      <c r="K7" s="2516"/>
      <c r="L7" s="2516"/>
      <c r="M7" s="2516"/>
      <c r="AK7" s="1547">
        <v>24</v>
      </c>
    </row>
    <row r="8" spans="1:37" ht="11.45" customHeight="1">
      <c r="I8" s="1052"/>
      <c r="J8" s="1052"/>
      <c r="K8" s="1052"/>
      <c r="L8" s="1052"/>
      <c r="M8" s="1052"/>
      <c r="AK8" s="1547">
        <v>11</v>
      </c>
    </row>
    <row r="9" spans="1:37" s="2344" customFormat="1" ht="30" hidden="1" customHeight="1">
      <c r="A9" s="1083"/>
      <c r="B9" s="1083"/>
      <c r="C9" s="1083"/>
      <c r="E9" s="1083"/>
      <c r="H9" s="1558"/>
      <c r="L9" s="814"/>
      <c r="M9" s="814" t="s">
        <v>117</v>
      </c>
      <c r="AK9" s="1552">
        <v>1</v>
      </c>
    </row>
    <row r="10" spans="1:37" ht="11.45" customHeight="1">
      <c r="E10" s="1959" t="s">
        <v>707</v>
      </c>
      <c r="I10" s="647"/>
      <c r="J10" s="2658" t="s">
        <v>105</v>
      </c>
      <c r="K10" s="2659"/>
      <c r="L10" s="1938" t="str">
        <f>IF(L9="","",INDEX(DIFFERENTIATION_UNMERGE_VD,MATCH(L9,DIFFERENTIATION_ID_DIFF,0)))</f>
        <v/>
      </c>
      <c r="M10" s="1938" t="str">
        <f>IF(M9="","",INDEX(DIFFERENTIATION_UNMERGE_VD,MATCH(M9,DIFFERENTIATION_ID_DIFF,0)))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O10" s="2435" t="s">
        <v>300</v>
      </c>
      <c r="AK10" s="1547">
        <v>11</v>
      </c>
    </row>
    <row r="11" spans="1:37" ht="11.45" customHeight="1">
      <c r="E11" s="1959" t="s">
        <v>708</v>
      </c>
      <c r="I11" s="647"/>
      <c r="J11" s="2658" t="s">
        <v>563</v>
      </c>
      <c r="K11" s="2659"/>
      <c r="L11" s="1938" t="str">
        <f>IF(L9="","",INDEX(DIFFERENTIATION_UNMERGE_AREA,MATCH(L9,DIFFERENTIATION_ID_DIFF,0)))</f>
        <v/>
      </c>
      <c r="M11" s="1938" t="str">
        <f>IF(M9="","",INDEX(DIFFERENTIATION_UNMERGE_AREA,MATCH(M9,DIFFERENTIATION_ID_DIFF,0)))</f>
        <v>без дифференциации</v>
      </c>
      <c r="O11" s="2435"/>
      <c r="AK11" s="1547">
        <v>11</v>
      </c>
    </row>
    <row r="12" spans="1:37" ht="11.45" customHeight="1">
      <c r="E12" s="1959" t="s">
        <v>709</v>
      </c>
      <c r="I12" s="1578"/>
      <c r="J12" s="2658" t="s">
        <v>564</v>
      </c>
      <c r="K12" s="2659"/>
      <c r="L12" s="1938" t="str">
        <f>IF(L9="","",INDEX(DIFFERENTIATION_UNMERGE_SYSTEM,MATCH(L9,DIFFERENTIATION_ID_DIFF,0)))</f>
        <v/>
      </c>
      <c r="M12" s="1938" t="str">
        <f>IF(M9="","",INDEX(DIFFERENTIATION_UNMERGE_SYSTEM,MATCH(M9,DIFFERENTIATION_ID_DIFF,0)))</f>
        <v>без дифференциации</v>
      </c>
      <c r="O12" s="2435"/>
      <c r="AK12" s="1547">
        <v>11</v>
      </c>
    </row>
    <row r="13" spans="1:37" ht="11.45" customHeight="1">
      <c r="E13" s="1959" t="s">
        <v>710</v>
      </c>
      <c r="F13" s="1959" t="s">
        <v>711</v>
      </c>
      <c r="I13" s="2660" t="s">
        <v>299</v>
      </c>
      <c r="J13" s="2661"/>
      <c r="K13" s="2661"/>
      <c r="L13" s="1936"/>
      <c r="M13" s="1976"/>
      <c r="O13" s="2435"/>
      <c r="AK13" s="1547">
        <v>11</v>
      </c>
    </row>
    <row r="14" spans="1:37" ht="24" customHeight="1">
      <c r="I14" s="1929" t="s">
        <v>88</v>
      </c>
      <c r="J14" s="1929" t="s">
        <v>301</v>
      </c>
      <c r="K14" s="1929" t="s">
        <v>565</v>
      </c>
      <c r="L14" s="1969" t="s">
        <v>302</v>
      </c>
      <c r="M14" s="1970" t="s">
        <v>302</v>
      </c>
      <c r="O14" s="2435"/>
      <c r="AK14" s="1547">
        <v>23</v>
      </c>
    </row>
    <row r="15" spans="1:37" ht="24" customHeight="1">
      <c r="A15" s="1963"/>
      <c r="B15" s="1962" t="s">
        <v>712</v>
      </c>
      <c r="C15" s="1962" t="s">
        <v>713</v>
      </c>
      <c r="D15" s="1961" t="s">
        <v>714</v>
      </c>
      <c r="E15" s="1965" t="s">
        <v>715</v>
      </c>
      <c r="F15" s="1965" t="s">
        <v>715</v>
      </c>
      <c r="G15" s="1552" t="s">
        <v>587</v>
      </c>
      <c r="H15" s="1930"/>
      <c r="I15" s="1546">
        <v>1</v>
      </c>
      <c r="J15" s="1931" t="s">
        <v>716</v>
      </c>
      <c r="K15" s="1929" t="s">
        <v>305</v>
      </c>
      <c r="L15" s="2038"/>
      <c r="M15" s="2036"/>
      <c r="N15" s="479" t="s">
        <v>717</v>
      </c>
      <c r="O15" s="1441" t="s">
        <v>718</v>
      </c>
      <c r="P15" s="479" t="s">
        <v>717</v>
      </c>
      <c r="AK15" s="1547">
        <v>23</v>
      </c>
    </row>
    <row r="16" spans="1:37" ht="35.65" customHeight="1">
      <c r="A16" s="1963"/>
      <c r="B16" s="1962" t="s">
        <v>719</v>
      </c>
      <c r="C16" s="1962" t="s">
        <v>720</v>
      </c>
      <c r="D16" s="1961" t="s">
        <v>704</v>
      </c>
      <c r="E16" s="1965" t="s">
        <v>715</v>
      </c>
      <c r="F16" s="1965" t="s">
        <v>715</v>
      </c>
      <c r="H16" s="1930"/>
      <c r="I16" s="1545">
        <v>2</v>
      </c>
      <c r="J16" s="1972" t="s">
        <v>721</v>
      </c>
      <c r="K16" s="1971" t="s">
        <v>555</v>
      </c>
      <c r="L16" s="1977"/>
      <c r="M16" s="1592"/>
      <c r="N16" s="479" t="s">
        <v>717</v>
      </c>
      <c r="O16" s="1441" t="s">
        <v>722</v>
      </c>
      <c r="P16" s="479" t="s">
        <v>717</v>
      </c>
      <c r="AK16" s="1547">
        <v>34</v>
      </c>
    </row>
    <row r="17" spans="1:37" s="2344" customFormat="1" ht="17.25" hidden="1" customHeight="1">
      <c r="A17" s="1083"/>
      <c r="B17" s="1083"/>
      <c r="C17" s="1083"/>
      <c r="D17" s="1083"/>
      <c r="E17" s="1083"/>
      <c r="H17" s="1240"/>
      <c r="I17" s="935" t="s">
        <v>723</v>
      </c>
      <c r="J17" s="914"/>
      <c r="K17" s="935"/>
      <c r="L17" s="915"/>
      <c r="M17" s="915"/>
      <c r="O17" s="1301"/>
      <c r="AK17" s="1552">
        <v>1</v>
      </c>
    </row>
    <row r="18" spans="1:37" s="2357" customFormat="1" ht="24" customHeight="1">
      <c r="A18" s="910"/>
      <c r="B18" s="910"/>
      <c r="C18" s="910"/>
      <c r="D18" s="910"/>
      <c r="E18" s="910"/>
      <c r="G18" s="1552"/>
      <c r="H18" s="1549"/>
      <c r="I18" s="506"/>
      <c r="J18" s="507" t="s">
        <v>671</v>
      </c>
      <c r="K18" s="508"/>
      <c r="L18" s="1979"/>
      <c r="M18" s="509"/>
      <c r="N18" s="479"/>
      <c r="O18" s="1441" t="s">
        <v>672</v>
      </c>
      <c r="P18" s="479"/>
      <c r="Q18" s="1552"/>
      <c r="R18" s="1552"/>
      <c r="W18" s="1552"/>
      <c r="Z18" s="480"/>
      <c r="AF18" s="1548"/>
      <c r="AG18" s="1548"/>
      <c r="AH18" s="1548"/>
      <c r="AI18" s="1548"/>
      <c r="AJ18" s="1548"/>
      <c r="AK18" s="1282">
        <v>23</v>
      </c>
    </row>
    <row r="19" spans="1:37" ht="19.899999999999999" customHeight="1">
      <c r="A19" s="1963"/>
      <c r="B19" s="1962" t="s">
        <v>724</v>
      </c>
      <c r="C19" s="1962" t="s">
        <v>725</v>
      </c>
      <c r="D19" s="1961" t="s">
        <v>704</v>
      </c>
      <c r="E19" s="1965" t="s">
        <v>715</v>
      </c>
      <c r="F19" s="1965" t="s">
        <v>715</v>
      </c>
      <c r="H19" s="1930"/>
      <c r="I19" s="1580">
        <v>3</v>
      </c>
      <c r="J19" s="1931" t="s">
        <v>725</v>
      </c>
      <c r="K19" s="1927" t="s">
        <v>555</v>
      </c>
      <c r="L19" s="663"/>
      <c r="M19" s="493"/>
      <c r="N19" s="479"/>
      <c r="O19" s="1441" t="s">
        <v>726</v>
      </c>
      <c r="P19" s="479"/>
      <c r="AK19" s="1547">
        <v>19</v>
      </c>
    </row>
    <row r="20" spans="1:37" ht="77.650000000000006" customHeight="1">
      <c r="A20" s="1963"/>
      <c r="B20" s="1962" t="s">
        <v>727</v>
      </c>
      <c r="C20" s="1962" t="s">
        <v>728</v>
      </c>
      <c r="D20" s="1961" t="s">
        <v>704</v>
      </c>
      <c r="E20" s="1965" t="s">
        <v>715</v>
      </c>
      <c r="F20" s="1965" t="s">
        <v>715</v>
      </c>
      <c r="H20" s="1930"/>
      <c r="I20" s="1580">
        <v>4</v>
      </c>
      <c r="J20" s="1931" t="s">
        <v>729</v>
      </c>
      <c r="K20" s="1927" t="s">
        <v>592</v>
      </c>
      <c r="L20" s="663"/>
      <c r="M20" s="493"/>
      <c r="N20" s="479"/>
      <c r="O20" s="1441"/>
      <c r="P20" s="479"/>
      <c r="AK20" s="1547">
        <v>74</v>
      </c>
    </row>
    <row r="21" spans="1:37" ht="35.65" customHeight="1">
      <c r="A21" s="1963"/>
      <c r="B21" s="1962" t="s">
        <v>730</v>
      </c>
      <c r="C21" s="1962" t="s">
        <v>731</v>
      </c>
      <c r="D21" s="1961" t="s">
        <v>704</v>
      </c>
      <c r="E21" s="1965" t="s">
        <v>715</v>
      </c>
      <c r="F21" s="1965" t="s">
        <v>715</v>
      </c>
      <c r="H21" s="1930"/>
      <c r="I21" s="1580">
        <v>5</v>
      </c>
      <c r="J21" s="1931" t="s">
        <v>732</v>
      </c>
      <c r="K21" s="1927" t="s">
        <v>592</v>
      </c>
      <c r="L21" s="663"/>
      <c r="M21" s="493"/>
      <c r="N21" s="479"/>
      <c r="O21" s="1441" t="s">
        <v>726</v>
      </c>
      <c r="P21" s="479"/>
      <c r="AK21" s="1547">
        <v>34</v>
      </c>
    </row>
    <row r="22" spans="1:37" ht="48.2" customHeight="1">
      <c r="A22" s="1963"/>
      <c r="B22" s="1962" t="s">
        <v>733</v>
      </c>
      <c r="C22" s="1962" t="s">
        <v>734</v>
      </c>
      <c r="D22" s="1961" t="s">
        <v>704</v>
      </c>
      <c r="E22" s="1965" t="s">
        <v>715</v>
      </c>
      <c r="F22" s="1965" t="s">
        <v>715</v>
      </c>
      <c r="H22" s="1930"/>
      <c r="I22" s="1580">
        <v>6</v>
      </c>
      <c r="J22" s="1931" t="s">
        <v>735</v>
      </c>
      <c r="K22" s="1927" t="s">
        <v>592</v>
      </c>
      <c r="L22" s="663"/>
      <c r="M22" s="493"/>
      <c r="N22" s="479"/>
      <c r="O22" s="1441" t="s">
        <v>736</v>
      </c>
      <c r="P22" s="479"/>
      <c r="AK22" s="1547">
        <v>46</v>
      </c>
    </row>
    <row r="23" spans="1:37" ht="19.899999999999999" customHeight="1">
      <c r="A23" s="1963"/>
      <c r="B23" s="1962" t="s">
        <v>737</v>
      </c>
      <c r="C23" s="1962" t="s">
        <v>738</v>
      </c>
      <c r="D23" s="1961" t="s">
        <v>704</v>
      </c>
      <c r="E23" s="1965" t="s">
        <v>715</v>
      </c>
      <c r="F23" s="1965" t="s">
        <v>715</v>
      </c>
      <c r="H23" s="1930"/>
      <c r="I23" s="1580" t="s">
        <v>739</v>
      </c>
      <c r="J23" s="1440" t="s">
        <v>740</v>
      </c>
      <c r="K23" s="1927" t="s">
        <v>592</v>
      </c>
      <c r="L23" s="663"/>
      <c r="M23" s="493"/>
      <c r="N23" s="479"/>
      <c r="O23" s="1441" t="s">
        <v>726</v>
      </c>
      <c r="P23" s="479"/>
      <c r="AK23" s="1547">
        <v>19</v>
      </c>
    </row>
    <row r="24" spans="1:37" ht="19.899999999999999" customHeight="1">
      <c r="A24" s="1963"/>
      <c r="B24" s="1962" t="s">
        <v>741</v>
      </c>
      <c r="C24" s="1962" t="s">
        <v>742</v>
      </c>
      <c r="D24" s="1961" t="s">
        <v>704</v>
      </c>
      <c r="E24" s="1965" t="s">
        <v>715</v>
      </c>
      <c r="F24" s="1965" t="s">
        <v>715</v>
      </c>
      <c r="H24" s="1930"/>
      <c r="I24" s="1580" t="s">
        <v>743</v>
      </c>
      <c r="J24" s="1440" t="s">
        <v>744</v>
      </c>
      <c r="K24" s="1927" t="s">
        <v>592</v>
      </c>
      <c r="L24" s="663"/>
      <c r="M24" s="493"/>
      <c r="N24" s="479"/>
      <c r="O24" s="1441"/>
      <c r="P24" s="479"/>
      <c r="AK24" s="1547">
        <v>19</v>
      </c>
    </row>
    <row r="25" spans="1:37" ht="24" customHeight="1">
      <c r="A25" s="1963"/>
      <c r="B25" s="1962" t="s">
        <v>745</v>
      </c>
      <c r="C25" s="1962" t="s">
        <v>746</v>
      </c>
      <c r="D25" s="1961" t="s">
        <v>704</v>
      </c>
      <c r="E25" s="1965" t="s">
        <v>715</v>
      </c>
      <c r="F25" s="1965" t="s">
        <v>715</v>
      </c>
      <c r="H25" s="1930"/>
      <c r="I25" s="1580" t="s">
        <v>747</v>
      </c>
      <c r="J25" s="1440" t="s">
        <v>748</v>
      </c>
      <c r="K25" s="1927" t="s">
        <v>592</v>
      </c>
      <c r="L25" s="663"/>
      <c r="M25" s="493"/>
      <c r="N25" s="479"/>
      <c r="O25" s="1441"/>
      <c r="P25" s="479"/>
      <c r="AK25" s="1547">
        <v>23</v>
      </c>
    </row>
    <row r="26" spans="1:37" ht="24" customHeight="1">
      <c r="A26" s="1963"/>
      <c r="B26" s="1962" t="s">
        <v>749</v>
      </c>
      <c r="C26" s="1962" t="s">
        <v>750</v>
      </c>
      <c r="D26" s="1961" t="s">
        <v>704</v>
      </c>
      <c r="E26" s="1965" t="s">
        <v>715</v>
      </c>
      <c r="F26" s="1965" t="s">
        <v>715</v>
      </c>
      <c r="H26" s="1930"/>
      <c r="I26" s="1580">
        <v>7</v>
      </c>
      <c r="J26" s="1931" t="s">
        <v>750</v>
      </c>
      <c r="K26" s="1927" t="s">
        <v>751</v>
      </c>
      <c r="L26" s="663"/>
      <c r="M26" s="493"/>
      <c r="N26" s="479"/>
      <c r="O26" s="1441"/>
      <c r="P26" s="479"/>
      <c r="AK26" s="1547">
        <v>23</v>
      </c>
    </row>
    <row r="27" spans="1:37" ht="24" customHeight="1">
      <c r="A27" s="1963"/>
      <c r="B27" s="1962" t="s">
        <v>752</v>
      </c>
      <c r="C27" s="1962" t="s">
        <v>753</v>
      </c>
      <c r="D27" s="1961" t="s">
        <v>704</v>
      </c>
      <c r="E27" s="1965" t="s">
        <v>715</v>
      </c>
      <c r="F27" s="1965" t="s">
        <v>715</v>
      </c>
      <c r="H27" s="1930"/>
      <c r="I27" s="1580">
        <v>8</v>
      </c>
      <c r="J27" s="1931" t="s">
        <v>753</v>
      </c>
      <c r="K27" s="1927" t="s">
        <v>673</v>
      </c>
      <c r="L27" s="663"/>
      <c r="M27" s="493"/>
      <c r="N27" s="479"/>
      <c r="O27" s="1441"/>
      <c r="P27" s="479"/>
      <c r="AK27" s="1547">
        <v>23</v>
      </c>
    </row>
    <row r="28" spans="1:37" ht="35.65" customHeight="1">
      <c r="A28" s="1963"/>
      <c r="B28" s="1962" t="s">
        <v>754</v>
      </c>
      <c r="C28" s="1962" t="s">
        <v>755</v>
      </c>
      <c r="D28" s="1961" t="s">
        <v>704</v>
      </c>
      <c r="E28" s="1965" t="s">
        <v>715</v>
      </c>
      <c r="F28" s="1965" t="s">
        <v>715</v>
      </c>
      <c r="H28" s="1930"/>
      <c r="I28" s="1591">
        <v>9</v>
      </c>
      <c r="J28" s="1931" t="s">
        <v>756</v>
      </c>
      <c r="K28" s="1927" t="s">
        <v>559</v>
      </c>
      <c r="L28" s="663"/>
      <c r="M28" s="493"/>
      <c r="N28" s="479"/>
      <c r="O28" s="1441"/>
      <c r="P28" s="479"/>
      <c r="AK28" s="1547">
        <v>34</v>
      </c>
    </row>
    <row r="29" spans="1:37" ht="35.65" customHeight="1">
      <c r="A29" s="1963"/>
      <c r="B29" s="1962" t="s">
        <v>757</v>
      </c>
      <c r="C29" s="1962" t="s">
        <v>758</v>
      </c>
      <c r="D29" s="1961" t="s">
        <v>704</v>
      </c>
      <c r="E29" s="1965" t="s">
        <v>715</v>
      </c>
      <c r="F29" s="1965" t="s">
        <v>715</v>
      </c>
      <c r="H29" s="1930"/>
      <c r="I29" s="1591">
        <v>10</v>
      </c>
      <c r="J29" s="1931" t="s">
        <v>759</v>
      </c>
      <c r="K29" s="1927" t="s">
        <v>559</v>
      </c>
      <c r="L29" s="663"/>
      <c r="M29" s="493"/>
      <c r="N29" s="479"/>
      <c r="O29" s="1441"/>
      <c r="P29" s="479"/>
      <c r="AK29" s="1547">
        <v>34</v>
      </c>
    </row>
    <row r="30" spans="1:37" ht="24" customHeight="1">
      <c r="A30" s="1963"/>
      <c r="B30" s="1962" t="s">
        <v>760</v>
      </c>
      <c r="C30" s="1962" t="s">
        <v>761</v>
      </c>
      <c r="D30" s="1961" t="s">
        <v>704</v>
      </c>
      <c r="E30" s="1965" t="s">
        <v>715</v>
      </c>
      <c r="F30" s="1965" t="s">
        <v>715</v>
      </c>
      <c r="H30" s="1930"/>
      <c r="I30" s="1591">
        <v>11</v>
      </c>
      <c r="J30" s="1931" t="s">
        <v>761</v>
      </c>
      <c r="K30" s="1927" t="s">
        <v>674</v>
      </c>
      <c r="L30" s="1978"/>
      <c r="M30" s="1537"/>
      <c r="N30" s="479"/>
      <c r="O30" s="1441"/>
      <c r="P30" s="479"/>
      <c r="AK30" s="1547">
        <v>23</v>
      </c>
    </row>
    <row r="31" spans="1:37" ht="24" customHeight="1">
      <c r="A31" s="1963"/>
      <c r="B31" s="1962" t="s">
        <v>762</v>
      </c>
      <c r="C31" s="1962" t="s">
        <v>763</v>
      </c>
      <c r="D31" s="1961" t="s">
        <v>704</v>
      </c>
      <c r="E31" s="1965" t="s">
        <v>715</v>
      </c>
      <c r="F31" s="1965" t="s">
        <v>715</v>
      </c>
      <c r="H31" s="1930"/>
      <c r="I31" s="1591">
        <v>12</v>
      </c>
      <c r="J31" s="1931" t="s">
        <v>763</v>
      </c>
      <c r="K31" s="1927" t="s">
        <v>674</v>
      </c>
      <c r="L31" s="1978"/>
      <c r="M31" s="1537"/>
      <c r="N31" s="479"/>
      <c r="O31" s="1441"/>
      <c r="P31" s="479"/>
      <c r="AK31" s="1547">
        <v>23</v>
      </c>
    </row>
    <row r="32" spans="1:37" ht="48.2" customHeight="1">
      <c r="A32" s="1963"/>
      <c r="B32" s="1962" t="s">
        <v>764</v>
      </c>
      <c r="C32" s="1962" t="s">
        <v>765</v>
      </c>
      <c r="D32" s="1961" t="s">
        <v>704</v>
      </c>
      <c r="E32" s="1965" t="s">
        <v>715</v>
      </c>
      <c r="F32" s="1965" t="s">
        <v>715</v>
      </c>
      <c r="H32" s="1930"/>
      <c r="I32" s="1591">
        <v>13</v>
      </c>
      <c r="J32" s="1931" t="s">
        <v>766</v>
      </c>
      <c r="K32" s="1927" t="s">
        <v>685</v>
      </c>
      <c r="L32" s="663"/>
      <c r="M32" s="493"/>
      <c r="N32" s="479"/>
      <c r="O32" s="1441" t="s">
        <v>726</v>
      </c>
      <c r="P32" s="479"/>
      <c r="AK32" s="1547">
        <v>46</v>
      </c>
    </row>
    <row r="33" spans="1:37" s="2357" customFormat="1" ht="48.2" customHeight="1">
      <c r="A33" s="1963"/>
      <c r="B33" s="1962" t="s">
        <v>767</v>
      </c>
      <c r="C33" s="1962" t="s">
        <v>768</v>
      </c>
      <c r="D33" s="1961" t="s">
        <v>704</v>
      </c>
      <c r="E33" s="1965" t="s">
        <v>715</v>
      </c>
      <c r="F33" s="1965" t="s">
        <v>715</v>
      </c>
      <c r="G33" s="1552"/>
      <c r="H33" s="1930"/>
      <c r="I33" s="1591">
        <v>14</v>
      </c>
      <c r="J33" s="1943" t="s">
        <v>769</v>
      </c>
      <c r="K33" s="1932" t="s">
        <v>770</v>
      </c>
      <c r="L33" s="663"/>
      <c r="M33" s="493"/>
      <c r="N33" s="479"/>
      <c r="O33" s="1441" t="s">
        <v>726</v>
      </c>
      <c r="P33" s="479"/>
      <c r="Q33" s="1552"/>
      <c r="R33" s="1552"/>
      <c r="W33" s="1552"/>
      <c r="Z33" s="480"/>
      <c r="AF33" s="1548"/>
      <c r="AG33" s="1548"/>
      <c r="AH33" s="1548"/>
      <c r="AI33" s="1548"/>
      <c r="AJ33" s="1548"/>
      <c r="AK33" s="1282">
        <v>46</v>
      </c>
    </row>
    <row r="34" spans="1:37" ht="108" customHeight="1">
      <c r="A34" s="1963"/>
      <c r="B34" s="1962" t="s">
        <v>771</v>
      </c>
      <c r="C34" s="1962" t="s">
        <v>772</v>
      </c>
      <c r="D34" s="1961" t="s">
        <v>714</v>
      </c>
      <c r="E34" s="1965" t="s">
        <v>715</v>
      </c>
      <c r="F34" s="1965" t="s">
        <v>715</v>
      </c>
      <c r="G34" s="1552" t="s">
        <v>587</v>
      </c>
      <c r="H34" s="1930"/>
      <c r="I34" s="1941">
        <v>15</v>
      </c>
      <c r="J34" s="1942" t="s">
        <v>773</v>
      </c>
      <c r="K34" s="1927" t="s">
        <v>305</v>
      </c>
      <c r="L34" s="321"/>
      <c r="M34" s="1080"/>
      <c r="N34" s="479"/>
      <c r="O34" s="1441" t="s">
        <v>718</v>
      </c>
      <c r="P34" s="479"/>
      <c r="AK34" s="1547">
        <v>103</v>
      </c>
    </row>
    <row r="35" spans="1:37" s="2335" customFormat="1" ht="11.45" customHeight="1">
      <c r="A35" s="910"/>
      <c r="B35" s="910"/>
      <c r="C35" s="910"/>
      <c r="D35" s="910"/>
      <c r="E35" s="910"/>
      <c r="F35" s="1552"/>
      <c r="G35" s="1552"/>
      <c r="H35" s="287"/>
      <c r="N35" s="1282"/>
      <c r="P35" s="1282"/>
      <c r="Q35" s="1552"/>
      <c r="R35" s="1552"/>
      <c r="S35" s="1282"/>
      <c r="T35" s="1282"/>
      <c r="U35" s="1282"/>
      <c r="V35" s="1282"/>
      <c r="W35" s="1552"/>
      <c r="X35" s="1282"/>
      <c r="Y35" s="1282"/>
      <c r="Z35" s="480"/>
      <c r="AA35" s="1282"/>
      <c r="AB35" s="1282"/>
      <c r="AC35" s="1282"/>
      <c r="AD35" s="1282"/>
      <c r="AE35" s="1282"/>
      <c r="AF35" s="1548"/>
      <c r="AG35" s="558"/>
      <c r="AH35" s="558"/>
      <c r="AI35" s="558"/>
      <c r="AJ35" s="558"/>
      <c r="AK35" s="1557">
        <v>11</v>
      </c>
    </row>
    <row r="36" spans="1:37" s="2335" customFormat="1" ht="11.45" customHeight="1">
      <c r="A36" s="910"/>
      <c r="B36" s="910"/>
      <c r="C36" s="910"/>
      <c r="D36" s="910"/>
      <c r="E36" s="910"/>
      <c r="F36" s="1552"/>
      <c r="G36" s="1552"/>
      <c r="H36" s="287"/>
      <c r="N36" s="1282"/>
      <c r="P36" s="1282"/>
      <c r="Q36" s="1552"/>
      <c r="R36" s="1552"/>
      <c r="S36" s="1282"/>
      <c r="T36" s="1282"/>
      <c r="U36" s="1282"/>
      <c r="V36" s="1282"/>
      <c r="W36" s="1552"/>
      <c r="X36" s="1282"/>
      <c r="Y36" s="1282"/>
      <c r="Z36" s="480"/>
      <c r="AA36" s="1282"/>
      <c r="AB36" s="1282"/>
      <c r="AC36" s="1282"/>
      <c r="AD36" s="1282"/>
      <c r="AE36" s="1282"/>
      <c r="AF36" s="1548"/>
      <c r="AG36" s="558"/>
      <c r="AH36" s="558"/>
      <c r="AI36" s="558"/>
      <c r="AJ36" s="558"/>
      <c r="AK36" s="1557">
        <v>11</v>
      </c>
    </row>
    <row r="37" spans="1:37" s="2335" customFormat="1" ht="11.45" customHeight="1">
      <c r="A37" s="910"/>
      <c r="B37" s="910"/>
      <c r="C37" s="910"/>
      <c r="D37" s="910"/>
      <c r="E37" s="910"/>
      <c r="F37" s="1552"/>
      <c r="G37" s="1552"/>
      <c r="H37" s="287"/>
      <c r="L37" s="558"/>
      <c r="M37" s="558"/>
      <c r="N37" s="1282"/>
      <c r="P37" s="1282"/>
      <c r="Q37" s="1552"/>
      <c r="R37" s="1552"/>
      <c r="S37" s="1282"/>
      <c r="T37" s="1282"/>
      <c r="U37" s="1282"/>
      <c r="V37" s="1282"/>
      <c r="W37" s="1552"/>
      <c r="X37" s="1282"/>
      <c r="Y37" s="1282"/>
      <c r="Z37" s="480"/>
      <c r="AA37" s="1282"/>
      <c r="AB37" s="1282"/>
      <c r="AC37" s="1282"/>
      <c r="AD37" s="1282"/>
      <c r="AE37" s="1282"/>
      <c r="AF37" s="1548"/>
      <c r="AG37" s="558"/>
      <c r="AH37" s="558"/>
      <c r="AI37" s="558"/>
      <c r="AJ37" s="558"/>
      <c r="AK37" s="1557">
        <v>11</v>
      </c>
    </row>
    <row r="38" spans="1:37" s="2335" customFormat="1" ht="11.45" customHeight="1">
      <c r="A38" s="910"/>
      <c r="B38" s="910"/>
      <c r="C38" s="910"/>
      <c r="D38" s="910"/>
      <c r="E38" s="910"/>
      <c r="F38" s="1552"/>
      <c r="G38" s="1552"/>
      <c r="H38" s="287"/>
      <c r="N38" s="1282"/>
      <c r="P38" s="1282"/>
      <c r="Q38" s="1552"/>
      <c r="R38" s="1552"/>
      <c r="S38" s="1282"/>
      <c r="T38" s="1282"/>
      <c r="U38" s="1282"/>
      <c r="V38" s="1282"/>
      <c r="W38" s="1552"/>
      <c r="X38" s="1282"/>
      <c r="Y38" s="1282"/>
      <c r="Z38" s="480"/>
      <c r="AA38" s="1282"/>
      <c r="AB38" s="1282"/>
      <c r="AC38" s="1282"/>
      <c r="AD38" s="1282"/>
      <c r="AE38" s="1282"/>
      <c r="AF38" s="1548"/>
      <c r="AG38" s="558"/>
      <c r="AH38" s="558"/>
      <c r="AI38" s="558"/>
      <c r="AJ38" s="558"/>
      <c r="AK38" s="1557">
        <v>11</v>
      </c>
    </row>
    <row r="39" spans="1:37" s="2335" customFormat="1" ht="11.45" customHeight="1">
      <c r="A39" s="910"/>
      <c r="B39" s="910"/>
      <c r="C39" s="910"/>
      <c r="D39" s="910"/>
      <c r="E39" s="910"/>
      <c r="F39" s="1552"/>
      <c r="G39" s="1552"/>
      <c r="H39" s="287"/>
      <c r="N39" s="1282"/>
      <c r="P39" s="1282"/>
      <c r="Q39" s="1552"/>
      <c r="R39" s="1552"/>
      <c r="S39" s="1282"/>
      <c r="T39" s="1282"/>
      <c r="U39" s="1282"/>
      <c r="V39" s="1282"/>
      <c r="W39" s="1552"/>
      <c r="X39" s="1282"/>
      <c r="Y39" s="1282"/>
      <c r="Z39" s="480"/>
      <c r="AA39" s="1282"/>
      <c r="AB39" s="1282"/>
      <c r="AC39" s="1282"/>
      <c r="AD39" s="1282"/>
      <c r="AE39" s="1282"/>
      <c r="AF39" s="1548"/>
      <c r="AG39" s="558"/>
      <c r="AH39" s="558"/>
      <c r="AI39" s="558"/>
      <c r="AJ39" s="558"/>
      <c r="AK39" s="1557">
        <v>11</v>
      </c>
    </row>
    <row r="40" spans="1:37" s="2335" customFormat="1" ht="11.45" customHeight="1">
      <c r="A40" s="910"/>
      <c r="B40" s="910"/>
      <c r="C40" s="910"/>
      <c r="D40" s="910"/>
      <c r="E40" s="910"/>
      <c r="F40" s="1552"/>
      <c r="G40" s="1552"/>
      <c r="H40" s="287"/>
      <c r="N40" s="1282"/>
      <c r="P40" s="1282"/>
      <c r="Q40" s="1552"/>
      <c r="R40" s="1552"/>
      <c r="S40" s="1282"/>
      <c r="T40" s="1282"/>
      <c r="U40" s="1282"/>
      <c r="V40" s="1282"/>
      <c r="W40" s="1552"/>
      <c r="X40" s="1282"/>
      <c r="Y40" s="1282"/>
      <c r="Z40" s="480"/>
      <c r="AA40" s="1282"/>
      <c r="AB40" s="1282"/>
      <c r="AC40" s="1282"/>
      <c r="AD40" s="1282"/>
      <c r="AE40" s="1282"/>
      <c r="AF40" s="1548"/>
      <c r="AG40" s="558"/>
      <c r="AH40" s="558"/>
      <c r="AI40" s="558"/>
      <c r="AJ40" s="558"/>
      <c r="AK40" s="1557">
        <v>11</v>
      </c>
    </row>
    <row r="41" spans="1:37" s="2335" customFormat="1" ht="11.45" customHeight="1">
      <c r="A41" s="910"/>
      <c r="B41" s="910"/>
      <c r="C41" s="910"/>
      <c r="D41" s="910"/>
      <c r="E41" s="910"/>
      <c r="F41" s="1552"/>
      <c r="G41" s="1552"/>
      <c r="H41" s="287"/>
      <c r="N41" s="1282"/>
      <c r="P41" s="1282"/>
      <c r="Q41" s="1552"/>
      <c r="R41" s="1552"/>
      <c r="S41" s="1282"/>
      <c r="T41" s="1282"/>
      <c r="U41" s="1282"/>
      <c r="V41" s="1282"/>
      <c r="W41" s="1552"/>
      <c r="X41" s="1282"/>
      <c r="Y41" s="1282"/>
      <c r="Z41" s="480"/>
      <c r="AA41" s="1282"/>
      <c r="AB41" s="1282"/>
      <c r="AC41" s="1282"/>
      <c r="AD41" s="1282"/>
      <c r="AE41" s="1282"/>
      <c r="AF41" s="1548"/>
      <c r="AG41" s="558"/>
      <c r="AH41" s="558"/>
      <c r="AI41" s="558"/>
      <c r="AJ41" s="558"/>
      <c r="AK41" s="1557">
        <v>11</v>
      </c>
    </row>
    <row r="42" spans="1:37" s="2335" customFormat="1" ht="11.45" customHeight="1">
      <c r="A42" s="910"/>
      <c r="B42" s="910"/>
      <c r="C42" s="910"/>
      <c r="D42" s="910"/>
      <c r="E42" s="910"/>
      <c r="F42" s="1552"/>
      <c r="G42" s="1552"/>
      <c r="H42" s="287"/>
      <c r="N42" s="1282"/>
      <c r="P42" s="1282"/>
      <c r="Q42" s="1552"/>
      <c r="R42" s="1552"/>
      <c r="S42" s="1282"/>
      <c r="T42" s="1282"/>
      <c r="U42" s="1282"/>
      <c r="V42" s="1282"/>
      <c r="W42" s="1552"/>
      <c r="X42" s="1282"/>
      <c r="Y42" s="1282"/>
      <c r="Z42" s="480"/>
      <c r="AA42" s="1282"/>
      <c r="AB42" s="1282"/>
      <c r="AC42" s="1282"/>
      <c r="AD42" s="1282"/>
      <c r="AE42" s="1282"/>
      <c r="AF42" s="1548"/>
      <c r="AG42" s="558"/>
      <c r="AH42" s="558"/>
      <c r="AI42" s="558"/>
      <c r="AJ42" s="558"/>
      <c r="AK42" s="1557">
        <v>11</v>
      </c>
    </row>
    <row r="43" spans="1:37" s="2335" customFormat="1" ht="11.45" customHeight="1">
      <c r="A43" s="910"/>
      <c r="B43" s="910"/>
      <c r="C43" s="910"/>
      <c r="D43" s="910"/>
      <c r="E43" s="910"/>
      <c r="F43" s="1552"/>
      <c r="G43" s="1552"/>
      <c r="H43" s="287"/>
      <c r="N43" s="1282"/>
      <c r="P43" s="1282"/>
      <c r="Q43" s="1552"/>
      <c r="R43" s="1552"/>
      <c r="S43" s="1282"/>
      <c r="T43" s="1282"/>
      <c r="U43" s="1282"/>
      <c r="V43" s="1282"/>
      <c r="W43" s="1552"/>
      <c r="X43" s="1282"/>
      <c r="Y43" s="1282"/>
      <c r="Z43" s="480"/>
      <c r="AA43" s="1282"/>
      <c r="AB43" s="1282"/>
      <c r="AC43" s="1282"/>
      <c r="AD43" s="1282"/>
      <c r="AE43" s="1282"/>
      <c r="AF43" s="1548"/>
      <c r="AG43" s="558"/>
      <c r="AH43" s="558"/>
      <c r="AI43" s="558"/>
      <c r="AJ43" s="558"/>
      <c r="AK43" s="1557">
        <v>11</v>
      </c>
    </row>
    <row r="44" spans="1:37" s="2335" customFormat="1" ht="11.45" customHeight="1">
      <c r="A44" s="910"/>
      <c r="B44" s="910"/>
      <c r="C44" s="910"/>
      <c r="D44" s="910"/>
      <c r="E44" s="910"/>
      <c r="F44" s="1552"/>
      <c r="G44" s="1552"/>
      <c r="H44" s="287"/>
      <c r="N44" s="1282"/>
      <c r="P44" s="1282"/>
      <c r="Q44" s="1552"/>
      <c r="R44" s="1552"/>
      <c r="S44" s="1282"/>
      <c r="T44" s="1282"/>
      <c r="U44" s="1282"/>
      <c r="V44" s="1282"/>
      <c r="W44" s="1552"/>
      <c r="X44" s="1282"/>
      <c r="Y44" s="1282"/>
      <c r="Z44" s="480"/>
      <c r="AA44" s="1282"/>
      <c r="AB44" s="1282"/>
      <c r="AC44" s="1282"/>
      <c r="AD44" s="1282"/>
      <c r="AE44" s="1282"/>
      <c r="AF44" s="1548"/>
      <c r="AG44" s="558"/>
      <c r="AH44" s="558"/>
      <c r="AI44" s="558"/>
      <c r="AJ44" s="558"/>
      <c r="AK44" s="1557">
        <v>11</v>
      </c>
    </row>
    <row r="45" spans="1:37" s="2335" customFormat="1" ht="11.45" customHeight="1">
      <c r="A45" s="910"/>
      <c r="B45" s="910"/>
      <c r="C45" s="910"/>
      <c r="D45" s="910"/>
      <c r="E45" s="910"/>
      <c r="F45" s="1552"/>
      <c r="G45" s="1552"/>
      <c r="H45" s="287"/>
      <c r="N45" s="1282"/>
      <c r="P45" s="1282"/>
      <c r="Q45" s="1552"/>
      <c r="R45" s="1552"/>
      <c r="S45" s="1282"/>
      <c r="T45" s="1282"/>
      <c r="U45" s="1282"/>
      <c r="V45" s="1282"/>
      <c r="W45" s="1552"/>
      <c r="X45" s="1282"/>
      <c r="Y45" s="1282"/>
      <c r="Z45" s="480"/>
      <c r="AA45" s="1282"/>
      <c r="AB45" s="1282"/>
      <c r="AC45" s="1282"/>
      <c r="AD45" s="1282"/>
      <c r="AE45" s="1282"/>
      <c r="AF45" s="1548"/>
      <c r="AG45" s="558"/>
      <c r="AH45" s="558"/>
      <c r="AI45" s="558"/>
      <c r="AJ45" s="558"/>
      <c r="AK45" s="1557">
        <v>11</v>
      </c>
    </row>
    <row r="46" spans="1:37" s="2335" customFormat="1" ht="11.45" customHeight="1">
      <c r="A46" s="910"/>
      <c r="B46" s="910"/>
      <c r="C46" s="910"/>
      <c r="D46" s="910"/>
      <c r="E46" s="910"/>
      <c r="F46" s="1552"/>
      <c r="G46" s="1552"/>
      <c r="H46" s="287"/>
      <c r="N46" s="1282"/>
      <c r="P46" s="1282"/>
      <c r="Q46" s="1552"/>
      <c r="R46" s="1552"/>
      <c r="S46" s="1282"/>
      <c r="T46" s="1282"/>
      <c r="U46" s="1282"/>
      <c r="V46" s="1282"/>
      <c r="W46" s="1552"/>
      <c r="X46" s="1282"/>
      <c r="Y46" s="1282"/>
      <c r="Z46" s="480"/>
      <c r="AA46" s="1282"/>
      <c r="AB46" s="1282"/>
      <c r="AC46" s="1282"/>
      <c r="AD46" s="1282"/>
      <c r="AE46" s="1282"/>
      <c r="AF46" s="1548"/>
      <c r="AG46" s="558"/>
      <c r="AH46" s="558"/>
      <c r="AI46" s="558"/>
      <c r="AJ46" s="558"/>
      <c r="AK46" s="1557">
        <v>11</v>
      </c>
    </row>
    <row r="47" spans="1:37" s="2335" customFormat="1" ht="11.45" customHeight="1">
      <c r="A47" s="910"/>
      <c r="B47" s="910"/>
      <c r="C47" s="910"/>
      <c r="D47" s="910"/>
      <c r="E47" s="910"/>
      <c r="F47" s="1552"/>
      <c r="G47" s="1552"/>
      <c r="H47" s="287"/>
      <c r="N47" s="1282"/>
      <c r="P47" s="1282"/>
      <c r="Q47" s="1552"/>
      <c r="R47" s="1552"/>
      <c r="S47" s="1282"/>
      <c r="T47" s="1282"/>
      <c r="U47" s="1282"/>
      <c r="V47" s="1282"/>
      <c r="W47" s="1552"/>
      <c r="X47" s="1282"/>
      <c r="Y47" s="1282"/>
      <c r="Z47" s="480"/>
      <c r="AA47" s="1282"/>
      <c r="AB47" s="1282"/>
      <c r="AC47" s="1282"/>
      <c r="AD47" s="1282"/>
      <c r="AE47" s="1282"/>
      <c r="AF47" s="1548"/>
      <c r="AG47" s="558"/>
      <c r="AH47" s="558"/>
      <c r="AI47" s="558"/>
      <c r="AJ47" s="558"/>
      <c r="AK47" s="1557">
        <v>11</v>
      </c>
    </row>
    <row r="48" spans="1:37" s="2335" customFormat="1" ht="11.45" customHeight="1">
      <c r="A48" s="910"/>
      <c r="B48" s="910"/>
      <c r="C48" s="910"/>
      <c r="D48" s="910"/>
      <c r="E48" s="910"/>
      <c r="F48" s="1552"/>
      <c r="G48" s="1552"/>
      <c r="H48" s="287"/>
      <c r="N48" s="1282"/>
      <c r="P48" s="1282"/>
      <c r="Q48" s="1552"/>
      <c r="R48" s="1552"/>
      <c r="S48" s="1282"/>
      <c r="T48" s="1282"/>
      <c r="U48" s="1282"/>
      <c r="V48" s="1282"/>
      <c r="W48" s="1552"/>
      <c r="X48" s="1282"/>
      <c r="Y48" s="1282"/>
      <c r="Z48" s="480"/>
      <c r="AA48" s="1282"/>
      <c r="AB48" s="1282"/>
      <c r="AC48" s="1282"/>
      <c r="AD48" s="1282"/>
      <c r="AE48" s="1282"/>
      <c r="AF48" s="1548"/>
      <c r="AG48" s="558"/>
      <c r="AH48" s="558"/>
      <c r="AI48" s="558"/>
      <c r="AJ48" s="558"/>
      <c r="AK48" s="1557">
        <v>11</v>
      </c>
    </row>
    <row r="49" spans="1:37" s="2335" customFormat="1" ht="11.45" customHeight="1">
      <c r="A49" s="910"/>
      <c r="B49" s="910"/>
      <c r="C49" s="910"/>
      <c r="D49" s="910"/>
      <c r="E49" s="910"/>
      <c r="F49" s="1552"/>
      <c r="G49" s="1552"/>
      <c r="H49" s="287"/>
      <c r="N49" s="1282"/>
      <c r="P49" s="1282"/>
      <c r="Q49" s="1552"/>
      <c r="R49" s="1552"/>
      <c r="S49" s="1282"/>
      <c r="T49" s="1282"/>
      <c r="U49" s="1282"/>
      <c r="V49" s="1282"/>
      <c r="W49" s="1552"/>
      <c r="X49" s="1282"/>
      <c r="Y49" s="1282"/>
      <c r="Z49" s="480"/>
      <c r="AA49" s="1282"/>
      <c r="AB49" s="1282"/>
      <c r="AC49" s="1282"/>
      <c r="AD49" s="1282"/>
      <c r="AE49" s="1282"/>
      <c r="AF49" s="1548"/>
      <c r="AG49" s="558"/>
      <c r="AH49" s="558"/>
      <c r="AI49" s="558"/>
      <c r="AJ49" s="558"/>
      <c r="AK49" s="1557">
        <v>11</v>
      </c>
    </row>
    <row r="50" spans="1:37" s="2335" customFormat="1" ht="11.45" customHeight="1">
      <c r="A50" s="910"/>
      <c r="B50" s="910"/>
      <c r="C50" s="910"/>
      <c r="D50" s="910"/>
      <c r="E50" s="910"/>
      <c r="F50" s="1552"/>
      <c r="G50" s="1552"/>
      <c r="H50" s="287"/>
      <c r="N50" s="1282"/>
      <c r="P50" s="1282"/>
      <c r="Q50" s="1552"/>
      <c r="R50" s="1552"/>
      <c r="S50" s="1282"/>
      <c r="T50" s="1282"/>
      <c r="U50" s="1282"/>
      <c r="V50" s="1282"/>
      <c r="W50" s="1552"/>
      <c r="X50" s="1282"/>
      <c r="Y50" s="1282"/>
      <c r="Z50" s="480"/>
      <c r="AA50" s="1282"/>
      <c r="AB50" s="1282"/>
      <c r="AC50" s="1282"/>
      <c r="AD50" s="1282"/>
      <c r="AE50" s="1282"/>
      <c r="AF50" s="1548"/>
      <c r="AG50" s="558"/>
      <c r="AH50" s="558"/>
      <c r="AI50" s="558"/>
      <c r="AJ50" s="558"/>
      <c r="AK50" s="1557">
        <v>11</v>
      </c>
    </row>
    <row r="51" spans="1:37" s="2335" customFormat="1" ht="11.45" customHeight="1">
      <c r="A51" s="910"/>
      <c r="B51" s="910"/>
      <c r="C51" s="910"/>
      <c r="D51" s="910"/>
      <c r="E51" s="910"/>
      <c r="F51" s="1552"/>
      <c r="G51" s="1552"/>
      <c r="H51" s="287"/>
      <c r="N51" s="1282"/>
      <c r="P51" s="1282"/>
      <c r="Q51" s="1552"/>
      <c r="R51" s="1552"/>
      <c r="S51" s="1282"/>
      <c r="T51" s="1282"/>
      <c r="U51" s="1282"/>
      <c r="V51" s="1282"/>
      <c r="W51" s="1552"/>
      <c r="X51" s="1282"/>
      <c r="Y51" s="1282"/>
      <c r="Z51" s="480"/>
      <c r="AA51" s="1282"/>
      <c r="AB51" s="1282"/>
      <c r="AC51" s="1282"/>
      <c r="AD51" s="1282"/>
      <c r="AE51" s="1282"/>
      <c r="AF51" s="1548"/>
      <c r="AG51" s="558"/>
      <c r="AH51" s="558"/>
      <c r="AI51" s="558"/>
      <c r="AJ51" s="558"/>
      <c r="AK51" s="1557">
        <v>11</v>
      </c>
    </row>
    <row r="52" spans="1:37" s="2335" customFormat="1" ht="11.45" customHeight="1">
      <c r="A52" s="910"/>
      <c r="B52" s="910"/>
      <c r="C52" s="910"/>
      <c r="D52" s="910"/>
      <c r="E52" s="910"/>
      <c r="F52" s="1552"/>
      <c r="G52" s="1552"/>
      <c r="H52" s="287"/>
      <c r="N52" s="1282"/>
      <c r="P52" s="1282"/>
      <c r="Q52" s="1552"/>
      <c r="R52" s="1552"/>
      <c r="S52" s="1282"/>
      <c r="T52" s="1282"/>
      <c r="U52" s="1282"/>
      <c r="V52" s="1282"/>
      <c r="W52" s="1552"/>
      <c r="X52" s="1282"/>
      <c r="Y52" s="1282"/>
      <c r="Z52" s="480"/>
      <c r="AA52" s="1282"/>
      <c r="AB52" s="1282"/>
      <c r="AC52" s="1282"/>
      <c r="AD52" s="1282"/>
      <c r="AE52" s="1282"/>
      <c r="AF52" s="1548"/>
      <c r="AG52" s="558"/>
      <c r="AH52" s="558"/>
      <c r="AI52" s="558"/>
      <c r="AJ52" s="558"/>
      <c r="AK52" s="1557">
        <v>11</v>
      </c>
    </row>
    <row r="53" spans="1:37" s="2335" customFormat="1" ht="11.45" customHeight="1">
      <c r="A53" s="910"/>
      <c r="B53" s="910"/>
      <c r="C53" s="910"/>
      <c r="D53" s="910"/>
      <c r="E53" s="910"/>
      <c r="F53" s="1552"/>
      <c r="G53" s="1552"/>
      <c r="H53" s="287"/>
      <c r="N53" s="1282"/>
      <c r="P53" s="1282"/>
      <c r="Q53" s="1552"/>
      <c r="R53" s="1552"/>
      <c r="S53" s="1282"/>
      <c r="T53" s="1282"/>
      <c r="U53" s="1282"/>
      <c r="V53" s="1282"/>
      <c r="W53" s="1552"/>
      <c r="X53" s="1282"/>
      <c r="Y53" s="1282"/>
      <c r="Z53" s="480"/>
      <c r="AA53" s="1282"/>
      <c r="AB53" s="1282"/>
      <c r="AC53" s="1282"/>
      <c r="AD53" s="1282"/>
      <c r="AE53" s="1282"/>
      <c r="AF53" s="1548"/>
      <c r="AG53" s="558"/>
      <c r="AH53" s="558"/>
      <c r="AI53" s="558"/>
      <c r="AJ53" s="558"/>
      <c r="AK53" s="1557">
        <v>11</v>
      </c>
    </row>
    <row r="54" spans="1:37" s="2335" customFormat="1" ht="11.45" customHeight="1">
      <c r="A54" s="910"/>
      <c r="B54" s="910"/>
      <c r="C54" s="910"/>
      <c r="D54" s="910"/>
      <c r="E54" s="910"/>
      <c r="F54" s="1552"/>
      <c r="G54" s="1552"/>
      <c r="H54" s="287"/>
      <c r="N54" s="1282"/>
      <c r="P54" s="1282"/>
      <c r="Q54" s="1552"/>
      <c r="R54" s="1552"/>
      <c r="S54" s="1282"/>
      <c r="T54" s="1282"/>
      <c r="U54" s="1282"/>
      <c r="V54" s="1282"/>
      <c r="W54" s="1552"/>
      <c r="X54" s="1282"/>
      <c r="Y54" s="1282"/>
      <c r="Z54" s="480"/>
      <c r="AA54" s="1282"/>
      <c r="AB54" s="1282"/>
      <c r="AC54" s="1282"/>
      <c r="AD54" s="1282"/>
      <c r="AE54" s="1282"/>
      <c r="AF54" s="1548"/>
      <c r="AG54" s="558"/>
      <c r="AH54" s="558"/>
      <c r="AI54" s="558"/>
      <c r="AJ54" s="558"/>
      <c r="AK54" s="1557">
        <v>11</v>
      </c>
    </row>
    <row r="55" spans="1:37" s="2335" customFormat="1" ht="11.45" customHeight="1">
      <c r="A55" s="910"/>
      <c r="B55" s="910"/>
      <c r="C55" s="910"/>
      <c r="D55" s="910"/>
      <c r="E55" s="910"/>
      <c r="F55" s="1552"/>
      <c r="G55" s="1552"/>
      <c r="H55" s="287"/>
      <c r="N55" s="1282"/>
      <c r="P55" s="1282"/>
      <c r="Q55" s="1552"/>
      <c r="R55" s="1552"/>
      <c r="S55" s="1282"/>
      <c r="T55" s="1282"/>
      <c r="U55" s="1282"/>
      <c r="V55" s="1282"/>
      <c r="W55" s="1552"/>
      <c r="X55" s="1282"/>
      <c r="Y55" s="1282"/>
      <c r="Z55" s="480"/>
      <c r="AA55" s="1282"/>
      <c r="AB55" s="1282"/>
      <c r="AC55" s="1282"/>
      <c r="AD55" s="1282"/>
      <c r="AE55" s="1282"/>
      <c r="AF55" s="1548"/>
      <c r="AG55" s="558"/>
      <c r="AH55" s="558"/>
      <c r="AI55" s="558"/>
      <c r="AJ55" s="558"/>
      <c r="AK55" s="1557">
        <v>11</v>
      </c>
    </row>
    <row r="56" spans="1:37" s="2335" customFormat="1" ht="11.45" customHeight="1">
      <c r="A56" s="910"/>
      <c r="B56" s="910"/>
      <c r="C56" s="910"/>
      <c r="D56" s="910"/>
      <c r="E56" s="910"/>
      <c r="F56" s="1552"/>
      <c r="G56" s="1552"/>
      <c r="H56" s="287"/>
      <c r="N56" s="1282"/>
      <c r="P56" s="1282"/>
      <c r="Q56" s="1552"/>
      <c r="R56" s="1552"/>
      <c r="S56" s="1282"/>
      <c r="T56" s="1282"/>
      <c r="U56" s="1282"/>
      <c r="V56" s="1282"/>
      <c r="W56" s="1552"/>
      <c r="X56" s="1282"/>
      <c r="Y56" s="1282"/>
      <c r="Z56" s="480"/>
      <c r="AA56" s="1282"/>
      <c r="AB56" s="1282"/>
      <c r="AC56" s="1282"/>
      <c r="AD56" s="1282"/>
      <c r="AE56" s="1282"/>
      <c r="AF56" s="1548"/>
      <c r="AG56" s="558"/>
      <c r="AH56" s="558"/>
      <c r="AI56" s="558"/>
      <c r="AJ56" s="558"/>
      <c r="AK56" s="1557">
        <v>11</v>
      </c>
    </row>
    <row r="57" spans="1:37" s="2335" customFormat="1" ht="11.45" customHeight="1">
      <c r="A57" s="910"/>
      <c r="B57" s="910"/>
      <c r="C57" s="910"/>
      <c r="D57" s="910"/>
      <c r="E57" s="910"/>
      <c r="F57" s="1552"/>
      <c r="G57" s="1552"/>
      <c r="H57" s="287"/>
      <c r="N57" s="1282"/>
      <c r="P57" s="1282"/>
      <c r="Q57" s="1552"/>
      <c r="R57" s="1552"/>
      <c r="S57" s="1282"/>
      <c r="T57" s="1282"/>
      <c r="U57" s="1282"/>
      <c r="V57" s="1282"/>
      <c r="W57" s="1552"/>
      <c r="X57" s="1282"/>
      <c r="Y57" s="1282"/>
      <c r="Z57" s="480"/>
      <c r="AA57" s="1282"/>
      <c r="AB57" s="1282"/>
      <c r="AC57" s="1282"/>
      <c r="AD57" s="1282"/>
      <c r="AE57" s="1282"/>
      <c r="AF57" s="1548"/>
      <c r="AG57" s="558"/>
      <c r="AH57" s="558"/>
      <c r="AI57" s="558"/>
      <c r="AJ57" s="558"/>
      <c r="AK57" s="1557">
        <v>11</v>
      </c>
    </row>
    <row r="58" spans="1:37" s="2335" customFormat="1" ht="11.45" customHeight="1">
      <c r="A58" s="910"/>
      <c r="B58" s="910"/>
      <c r="C58" s="910"/>
      <c r="D58" s="910"/>
      <c r="E58" s="910"/>
      <c r="F58" s="1552"/>
      <c r="G58" s="1552"/>
      <c r="H58" s="287"/>
      <c r="N58" s="1282"/>
      <c r="P58" s="1282"/>
      <c r="Q58" s="1552"/>
      <c r="R58" s="1552"/>
      <c r="S58" s="1282"/>
      <c r="T58" s="1282"/>
      <c r="U58" s="1282"/>
      <c r="V58" s="1282"/>
      <c r="W58" s="1552"/>
      <c r="X58" s="1282"/>
      <c r="Y58" s="1282"/>
      <c r="Z58" s="480"/>
      <c r="AA58" s="1282"/>
      <c r="AB58" s="1282"/>
      <c r="AC58" s="1282"/>
      <c r="AD58" s="1282"/>
      <c r="AE58" s="1282"/>
      <c r="AF58" s="1548"/>
      <c r="AG58" s="558"/>
      <c r="AH58" s="558"/>
      <c r="AI58" s="558"/>
      <c r="AJ58" s="558"/>
      <c r="AK58" s="1557">
        <v>11</v>
      </c>
    </row>
    <row r="59" spans="1:37" s="2335" customFormat="1" ht="11.45" customHeight="1">
      <c r="A59" s="910"/>
      <c r="B59" s="910"/>
      <c r="C59" s="910"/>
      <c r="D59" s="910"/>
      <c r="E59" s="910"/>
      <c r="F59" s="1552"/>
      <c r="G59" s="1552"/>
      <c r="H59" s="287"/>
      <c r="N59" s="1282"/>
      <c r="P59" s="1282"/>
      <c r="Q59" s="1552"/>
      <c r="R59" s="1552"/>
      <c r="S59" s="1282"/>
      <c r="T59" s="1282"/>
      <c r="U59" s="1282"/>
      <c r="V59" s="1282"/>
      <c r="W59" s="1552"/>
      <c r="X59" s="1282"/>
      <c r="Y59" s="1282"/>
      <c r="Z59" s="480"/>
      <c r="AA59" s="1282"/>
      <c r="AB59" s="1282"/>
      <c r="AC59" s="1282"/>
      <c r="AD59" s="1282"/>
      <c r="AE59" s="1282"/>
      <c r="AF59" s="1548"/>
      <c r="AG59" s="558"/>
      <c r="AH59" s="558"/>
      <c r="AI59" s="558"/>
      <c r="AJ59" s="558"/>
      <c r="AK59" s="1557">
        <v>11</v>
      </c>
    </row>
    <row r="60" spans="1:37" s="2335" customFormat="1" ht="11.45" customHeight="1">
      <c r="A60" s="910"/>
      <c r="B60" s="910"/>
      <c r="C60" s="910"/>
      <c r="D60" s="910"/>
      <c r="E60" s="910"/>
      <c r="F60" s="1552"/>
      <c r="G60" s="1552"/>
      <c r="H60" s="287"/>
      <c r="N60" s="1282"/>
      <c r="P60" s="1282"/>
      <c r="Q60" s="1552"/>
      <c r="R60" s="1552"/>
      <c r="S60" s="1282"/>
      <c r="T60" s="1282"/>
      <c r="U60" s="1282"/>
      <c r="V60" s="1282"/>
      <c r="W60" s="1552"/>
      <c r="X60" s="1282"/>
      <c r="Y60" s="1282"/>
      <c r="Z60" s="480"/>
      <c r="AA60" s="1282"/>
      <c r="AB60" s="1282"/>
      <c r="AC60" s="1282"/>
      <c r="AD60" s="1282"/>
      <c r="AE60" s="1282"/>
      <c r="AF60" s="1548"/>
      <c r="AG60" s="558"/>
      <c r="AH60" s="558"/>
      <c r="AI60" s="558"/>
      <c r="AJ60" s="558"/>
      <c r="AK60" s="1557">
        <v>11</v>
      </c>
    </row>
    <row r="61" spans="1:37" s="2335" customFormat="1" ht="11.45" customHeight="1">
      <c r="A61" s="910"/>
      <c r="B61" s="910"/>
      <c r="C61" s="910"/>
      <c r="D61" s="910"/>
      <c r="E61" s="910"/>
      <c r="F61" s="1552"/>
      <c r="G61" s="1552"/>
      <c r="H61" s="287"/>
      <c r="N61" s="1282"/>
      <c r="P61" s="1282"/>
      <c r="Q61" s="1552"/>
      <c r="R61" s="1552"/>
      <c r="S61" s="1282"/>
      <c r="T61" s="1282"/>
      <c r="U61" s="1282"/>
      <c r="V61" s="1282"/>
      <c r="W61" s="1552"/>
      <c r="X61" s="1282"/>
      <c r="Y61" s="1282"/>
      <c r="Z61" s="480"/>
      <c r="AA61" s="1282"/>
      <c r="AB61" s="1282"/>
      <c r="AC61" s="1282"/>
      <c r="AD61" s="1282"/>
      <c r="AE61" s="1282"/>
      <c r="AF61" s="1548"/>
      <c r="AG61" s="558"/>
      <c r="AH61" s="558"/>
      <c r="AI61" s="558"/>
      <c r="AJ61" s="558"/>
      <c r="AK61" s="1557">
        <v>11</v>
      </c>
    </row>
    <row r="62" spans="1:37" s="2335" customFormat="1" ht="11.45" customHeight="1">
      <c r="A62" s="910"/>
      <c r="B62" s="910"/>
      <c r="C62" s="910"/>
      <c r="D62" s="910"/>
      <c r="E62" s="910"/>
      <c r="F62" s="1552"/>
      <c r="G62" s="1552"/>
      <c r="H62" s="287"/>
      <c r="N62" s="1282"/>
      <c r="P62" s="1282"/>
      <c r="Q62" s="1552"/>
      <c r="R62" s="1552"/>
      <c r="S62" s="1282"/>
      <c r="T62" s="1282"/>
      <c r="U62" s="1282"/>
      <c r="V62" s="1282"/>
      <c r="W62" s="1552"/>
      <c r="X62" s="1282"/>
      <c r="Y62" s="1282"/>
      <c r="Z62" s="480"/>
      <c r="AA62" s="1282"/>
      <c r="AB62" s="1282"/>
      <c r="AC62" s="1282"/>
      <c r="AD62" s="1282"/>
      <c r="AE62" s="1282"/>
      <c r="AF62" s="1548"/>
      <c r="AG62" s="558"/>
      <c r="AH62" s="558"/>
      <c r="AI62" s="558"/>
      <c r="AJ62" s="558"/>
      <c r="AK62" s="1557">
        <v>11</v>
      </c>
    </row>
    <row r="63" spans="1:37" s="2335" customFormat="1" ht="11.45" customHeight="1">
      <c r="A63" s="910"/>
      <c r="B63" s="910"/>
      <c r="C63" s="910"/>
      <c r="D63" s="910"/>
      <c r="E63" s="910"/>
      <c r="F63" s="1552"/>
      <c r="G63" s="1552"/>
      <c r="H63" s="287"/>
      <c r="N63" s="1282"/>
      <c r="P63" s="1282"/>
      <c r="Q63" s="1552"/>
      <c r="R63" s="1552"/>
      <c r="S63" s="1282"/>
      <c r="T63" s="1282"/>
      <c r="U63" s="1282"/>
      <c r="V63" s="1282"/>
      <c r="W63" s="1552"/>
      <c r="X63" s="1282"/>
      <c r="Y63" s="1282"/>
      <c r="Z63" s="480"/>
      <c r="AA63" s="1282"/>
      <c r="AB63" s="1282"/>
      <c r="AC63" s="1282"/>
      <c r="AD63" s="1282"/>
      <c r="AE63" s="1282"/>
      <c r="AF63" s="1548"/>
      <c r="AG63" s="558"/>
      <c r="AH63" s="558"/>
      <c r="AI63" s="558"/>
      <c r="AJ63" s="558"/>
      <c r="AK63" s="1557">
        <v>11</v>
      </c>
    </row>
    <row r="64" spans="1:37" s="2335" customFormat="1" ht="11.45" customHeight="1">
      <c r="A64" s="910"/>
      <c r="B64" s="910"/>
      <c r="C64" s="910"/>
      <c r="D64" s="910"/>
      <c r="E64" s="910"/>
      <c r="F64" s="1552"/>
      <c r="G64" s="1552"/>
      <c r="H64" s="287"/>
      <c r="N64" s="1282"/>
      <c r="P64" s="1282"/>
      <c r="Q64" s="1552"/>
      <c r="R64" s="1552"/>
      <c r="S64" s="1282"/>
      <c r="T64" s="1282"/>
      <c r="U64" s="1282"/>
      <c r="V64" s="1282"/>
      <c r="W64" s="1552"/>
      <c r="X64" s="1282"/>
      <c r="Y64" s="1282"/>
      <c r="Z64" s="480"/>
      <c r="AA64" s="1282"/>
      <c r="AB64" s="1282"/>
      <c r="AC64" s="1282"/>
      <c r="AD64" s="1282"/>
      <c r="AE64" s="1282"/>
      <c r="AF64" s="1548"/>
      <c r="AG64" s="558"/>
      <c r="AH64" s="558"/>
      <c r="AI64" s="558"/>
      <c r="AJ64" s="558"/>
      <c r="AK64" s="1557">
        <v>11</v>
      </c>
    </row>
    <row r="65" spans="1:37" s="2335" customFormat="1" ht="11.45" customHeight="1">
      <c r="A65" s="910"/>
      <c r="B65" s="910"/>
      <c r="C65" s="910"/>
      <c r="D65" s="910"/>
      <c r="E65" s="910"/>
      <c r="F65" s="1552"/>
      <c r="G65" s="1552"/>
      <c r="H65" s="287"/>
      <c r="N65" s="1282"/>
      <c r="P65" s="1282"/>
      <c r="Q65" s="1552"/>
      <c r="R65" s="1552"/>
      <c r="S65" s="1282"/>
      <c r="T65" s="1282"/>
      <c r="U65" s="1282"/>
      <c r="V65" s="1282"/>
      <c r="W65" s="1552"/>
      <c r="X65" s="1282"/>
      <c r="Y65" s="1282"/>
      <c r="Z65" s="480"/>
      <c r="AA65" s="1282"/>
      <c r="AB65" s="1282"/>
      <c r="AC65" s="1282"/>
      <c r="AD65" s="1282"/>
      <c r="AE65" s="1282"/>
      <c r="AF65" s="1548"/>
      <c r="AG65" s="558"/>
      <c r="AH65" s="558"/>
      <c r="AI65" s="558"/>
      <c r="AJ65" s="558"/>
      <c r="AK65" s="1557">
        <v>11</v>
      </c>
    </row>
    <row r="66" spans="1:37" s="2335" customFormat="1" ht="11.45" customHeight="1">
      <c r="A66" s="910"/>
      <c r="B66" s="910"/>
      <c r="C66" s="910"/>
      <c r="D66" s="910"/>
      <c r="E66" s="910"/>
      <c r="F66" s="1552"/>
      <c r="G66" s="1552"/>
      <c r="H66" s="287"/>
      <c r="N66" s="1282"/>
      <c r="P66" s="1282"/>
      <c r="Q66" s="1552"/>
      <c r="R66" s="1552"/>
      <c r="S66" s="1282"/>
      <c r="T66" s="1282"/>
      <c r="U66" s="1282"/>
      <c r="V66" s="1282"/>
      <c r="W66" s="1552"/>
      <c r="X66" s="1282"/>
      <c r="Y66" s="1282"/>
      <c r="Z66" s="480"/>
      <c r="AA66" s="1282"/>
      <c r="AB66" s="1282"/>
      <c r="AC66" s="1282"/>
      <c r="AD66" s="1282"/>
      <c r="AE66" s="1282"/>
      <c r="AF66" s="1548"/>
      <c r="AG66" s="558"/>
      <c r="AH66" s="558"/>
      <c r="AI66" s="558"/>
      <c r="AJ66" s="558"/>
      <c r="AK66" s="1557">
        <v>11</v>
      </c>
    </row>
    <row r="67" spans="1:37" s="2335" customFormat="1" ht="11.45" customHeight="1">
      <c r="A67" s="910"/>
      <c r="B67" s="910"/>
      <c r="C67" s="910"/>
      <c r="D67" s="910"/>
      <c r="E67" s="910"/>
      <c r="F67" s="1552"/>
      <c r="G67" s="1552"/>
      <c r="H67" s="287"/>
      <c r="N67" s="1282"/>
      <c r="P67" s="1282"/>
      <c r="Q67" s="1552"/>
      <c r="R67" s="1552"/>
      <c r="S67" s="1282"/>
      <c r="T67" s="1282"/>
      <c r="U67" s="1282"/>
      <c r="V67" s="1282"/>
      <c r="W67" s="1552"/>
      <c r="X67" s="1282"/>
      <c r="Y67" s="1282"/>
      <c r="Z67" s="480"/>
      <c r="AA67" s="1282"/>
      <c r="AB67" s="1282"/>
      <c r="AC67" s="1282"/>
      <c r="AD67" s="1282"/>
      <c r="AE67" s="1282"/>
      <c r="AF67" s="1548"/>
      <c r="AG67" s="558"/>
      <c r="AH67" s="558"/>
      <c r="AI67" s="558"/>
      <c r="AJ67" s="558"/>
      <c r="AK67" s="1557">
        <v>11</v>
      </c>
    </row>
    <row r="68" spans="1:37" s="2335" customFormat="1" ht="11.45" customHeight="1">
      <c r="A68" s="910"/>
      <c r="B68" s="910"/>
      <c r="C68" s="910"/>
      <c r="D68" s="910"/>
      <c r="E68" s="910"/>
      <c r="F68" s="1552"/>
      <c r="G68" s="1552"/>
      <c r="H68" s="287"/>
      <c r="N68" s="1282"/>
      <c r="P68" s="1282"/>
      <c r="Q68" s="1552"/>
      <c r="R68" s="1552"/>
      <c r="S68" s="1282"/>
      <c r="T68" s="1282"/>
      <c r="U68" s="1282"/>
      <c r="V68" s="1282"/>
      <c r="W68" s="1552"/>
      <c r="X68" s="1282"/>
      <c r="Y68" s="1282"/>
      <c r="Z68" s="480"/>
      <c r="AA68" s="1282"/>
      <c r="AB68" s="1282"/>
      <c r="AC68" s="1282"/>
      <c r="AD68" s="1282"/>
      <c r="AE68" s="1282"/>
      <c r="AF68" s="1548"/>
      <c r="AG68" s="558"/>
      <c r="AH68" s="558"/>
      <c r="AI68" s="558"/>
      <c r="AJ68" s="558"/>
      <c r="AK68" s="1557">
        <v>11</v>
      </c>
    </row>
    <row r="69" spans="1:37" s="2335" customFormat="1" ht="11.45" customHeight="1">
      <c r="A69" s="910"/>
      <c r="B69" s="910"/>
      <c r="C69" s="910"/>
      <c r="D69" s="910"/>
      <c r="E69" s="910"/>
      <c r="F69" s="1552"/>
      <c r="G69" s="1552"/>
      <c r="H69" s="287"/>
      <c r="N69" s="1282"/>
      <c r="P69" s="1282"/>
      <c r="Q69" s="1552"/>
      <c r="R69" s="1552"/>
      <c r="S69" s="1282"/>
      <c r="T69" s="1282"/>
      <c r="U69" s="1282"/>
      <c r="V69" s="1282"/>
      <c r="W69" s="1552"/>
      <c r="X69" s="1282"/>
      <c r="Y69" s="1282"/>
      <c r="Z69" s="480"/>
      <c r="AA69" s="1282"/>
      <c r="AB69" s="1282"/>
      <c r="AC69" s="1282"/>
      <c r="AD69" s="1282"/>
      <c r="AE69" s="1282"/>
      <c r="AF69" s="1548"/>
      <c r="AG69" s="558"/>
      <c r="AH69" s="558"/>
      <c r="AI69" s="558"/>
      <c r="AJ69" s="558"/>
      <c r="AK69" s="1557">
        <v>11</v>
      </c>
    </row>
    <row r="70" spans="1:37" s="2335" customFormat="1" ht="11.45" customHeight="1">
      <c r="A70" s="910"/>
      <c r="B70" s="910"/>
      <c r="C70" s="910"/>
      <c r="D70" s="910"/>
      <c r="E70" s="910"/>
      <c r="F70" s="1552"/>
      <c r="G70" s="1552"/>
      <c r="H70" s="287"/>
      <c r="N70" s="1282"/>
      <c r="P70" s="1282"/>
      <c r="Q70" s="1552"/>
      <c r="R70" s="1552"/>
      <c r="S70" s="1282"/>
      <c r="T70" s="1282"/>
      <c r="U70" s="1282"/>
      <c r="V70" s="1282"/>
      <c r="W70" s="1552"/>
      <c r="X70" s="1282"/>
      <c r="Y70" s="1282"/>
      <c r="Z70" s="480"/>
      <c r="AA70" s="1282"/>
      <c r="AB70" s="1282"/>
      <c r="AC70" s="1282"/>
      <c r="AD70" s="1282"/>
      <c r="AE70" s="1282"/>
      <c r="AF70" s="1548"/>
      <c r="AG70" s="558"/>
      <c r="AH70" s="558"/>
      <c r="AI70" s="558"/>
      <c r="AJ70" s="558"/>
      <c r="AK70" s="1557">
        <v>11</v>
      </c>
    </row>
    <row r="71" spans="1:37" s="2335" customFormat="1" ht="11.45" customHeight="1">
      <c r="A71" s="910"/>
      <c r="B71" s="910"/>
      <c r="C71" s="910"/>
      <c r="D71" s="910"/>
      <c r="E71" s="910"/>
      <c r="F71" s="1552"/>
      <c r="G71" s="1552"/>
      <c r="H71" s="287"/>
      <c r="N71" s="1282"/>
      <c r="P71" s="1282"/>
      <c r="Q71" s="1552"/>
      <c r="R71" s="1552"/>
      <c r="S71" s="1282"/>
      <c r="T71" s="1282"/>
      <c r="U71" s="1282"/>
      <c r="V71" s="1282"/>
      <c r="W71" s="1552"/>
      <c r="X71" s="1282"/>
      <c r="Y71" s="1282"/>
      <c r="Z71" s="480"/>
      <c r="AA71" s="1282"/>
      <c r="AB71" s="1282"/>
      <c r="AC71" s="1282"/>
      <c r="AD71" s="1282"/>
      <c r="AE71" s="1282"/>
      <c r="AF71" s="1548"/>
      <c r="AG71" s="558"/>
      <c r="AH71" s="558"/>
      <c r="AI71" s="558"/>
      <c r="AJ71" s="558"/>
      <c r="AK71" s="1557">
        <v>11</v>
      </c>
    </row>
    <row r="72" spans="1:37" s="2335" customFormat="1" ht="11.45" customHeight="1">
      <c r="A72" s="910"/>
      <c r="B72" s="910"/>
      <c r="C72" s="910"/>
      <c r="D72" s="910"/>
      <c r="E72" s="910"/>
      <c r="F72" s="1552"/>
      <c r="G72" s="1552"/>
      <c r="H72" s="287"/>
      <c r="N72" s="1282"/>
      <c r="P72" s="1282"/>
      <c r="Q72" s="1552"/>
      <c r="R72" s="1552"/>
      <c r="S72" s="1282"/>
      <c r="T72" s="1282"/>
      <c r="U72" s="1282"/>
      <c r="V72" s="1282"/>
      <c r="W72" s="1552"/>
      <c r="X72" s="1282"/>
      <c r="Y72" s="1282"/>
      <c r="Z72" s="480"/>
      <c r="AA72" s="1282"/>
      <c r="AB72" s="1282"/>
      <c r="AC72" s="1282"/>
      <c r="AD72" s="1282"/>
      <c r="AE72" s="1282"/>
      <c r="AF72" s="1548"/>
      <c r="AG72" s="558"/>
      <c r="AH72" s="558"/>
      <c r="AI72" s="558"/>
      <c r="AJ72" s="558"/>
      <c r="AK72" s="1557">
        <v>11</v>
      </c>
    </row>
    <row r="73" spans="1:37" s="2335" customFormat="1" ht="11.45" customHeight="1">
      <c r="A73" s="910"/>
      <c r="B73" s="910"/>
      <c r="C73" s="910"/>
      <c r="D73" s="910"/>
      <c r="E73" s="910"/>
      <c r="F73" s="1552"/>
      <c r="G73" s="1552"/>
      <c r="H73" s="287"/>
      <c r="N73" s="1282"/>
      <c r="P73" s="1282"/>
      <c r="Q73" s="1552"/>
      <c r="R73" s="1552"/>
      <c r="S73" s="1282"/>
      <c r="T73" s="1282"/>
      <c r="U73" s="1282"/>
      <c r="V73" s="1282"/>
      <c r="W73" s="1552"/>
      <c r="X73" s="1282"/>
      <c r="Y73" s="1282"/>
      <c r="Z73" s="480"/>
      <c r="AA73" s="1282"/>
      <c r="AB73" s="1282"/>
      <c r="AC73" s="1282"/>
      <c r="AD73" s="1282"/>
      <c r="AE73" s="1282"/>
      <c r="AF73" s="1548"/>
      <c r="AG73" s="558"/>
      <c r="AH73" s="558"/>
      <c r="AI73" s="558"/>
      <c r="AJ73" s="558"/>
      <c r="AK73" s="1557">
        <v>11</v>
      </c>
    </row>
    <row r="74" spans="1:37" s="2335" customFormat="1" ht="11.45" customHeight="1">
      <c r="A74" s="910"/>
      <c r="B74" s="910"/>
      <c r="C74" s="910"/>
      <c r="D74" s="910"/>
      <c r="E74" s="910"/>
      <c r="F74" s="1552"/>
      <c r="G74" s="1552"/>
      <c r="H74" s="287"/>
      <c r="N74" s="1282"/>
      <c r="P74" s="1282"/>
      <c r="Q74" s="1552"/>
      <c r="R74" s="1552"/>
      <c r="S74" s="1282"/>
      <c r="T74" s="1282"/>
      <c r="U74" s="1282"/>
      <c r="V74" s="1282"/>
      <c r="W74" s="1552"/>
      <c r="X74" s="1282"/>
      <c r="Y74" s="1282"/>
      <c r="Z74" s="480"/>
      <c r="AA74" s="1282"/>
      <c r="AB74" s="1282"/>
      <c r="AC74" s="1282"/>
      <c r="AD74" s="1282"/>
      <c r="AE74" s="1282"/>
      <c r="AF74" s="1548"/>
      <c r="AG74" s="558"/>
      <c r="AH74" s="558"/>
      <c r="AI74" s="558"/>
      <c r="AJ74" s="558"/>
      <c r="AK74" s="1557">
        <v>11</v>
      </c>
    </row>
    <row r="75" spans="1:37" s="2335" customFormat="1" ht="11.45" customHeight="1">
      <c r="A75" s="910"/>
      <c r="B75" s="910"/>
      <c r="C75" s="910"/>
      <c r="D75" s="910"/>
      <c r="E75" s="910"/>
      <c r="F75" s="1552"/>
      <c r="G75" s="1552"/>
      <c r="H75" s="287"/>
      <c r="N75" s="1282"/>
      <c r="P75" s="1282"/>
      <c r="Q75" s="1552"/>
      <c r="R75" s="1552"/>
      <c r="S75" s="1282"/>
      <c r="T75" s="1282"/>
      <c r="U75" s="1282"/>
      <c r="V75" s="1282"/>
      <c r="W75" s="1552"/>
      <c r="X75" s="1282"/>
      <c r="Y75" s="1282"/>
      <c r="Z75" s="480"/>
      <c r="AA75" s="1282"/>
      <c r="AB75" s="1282"/>
      <c r="AC75" s="1282"/>
      <c r="AD75" s="1282"/>
      <c r="AE75" s="1282"/>
      <c r="AF75" s="1548"/>
      <c r="AG75" s="558"/>
      <c r="AH75" s="558"/>
      <c r="AI75" s="558"/>
      <c r="AJ75" s="558"/>
      <c r="AK75" s="1557">
        <v>11</v>
      </c>
    </row>
    <row r="76" spans="1:37" s="2335" customFormat="1" ht="11.45" customHeight="1">
      <c r="A76" s="910"/>
      <c r="B76" s="910"/>
      <c r="C76" s="910"/>
      <c r="D76" s="910"/>
      <c r="E76" s="910"/>
      <c r="F76" s="1552"/>
      <c r="G76" s="1552"/>
      <c r="H76" s="287"/>
      <c r="N76" s="1282"/>
      <c r="P76" s="1282"/>
      <c r="Q76" s="1552"/>
      <c r="R76" s="1552"/>
      <c r="S76" s="1282"/>
      <c r="T76" s="1282"/>
      <c r="U76" s="1282"/>
      <c r="V76" s="1282"/>
      <c r="W76" s="1552"/>
      <c r="X76" s="1282"/>
      <c r="Y76" s="1282"/>
      <c r="Z76" s="480"/>
      <c r="AA76" s="1282"/>
      <c r="AB76" s="1282"/>
      <c r="AC76" s="1282"/>
      <c r="AD76" s="1282"/>
      <c r="AE76" s="1282"/>
      <c r="AF76" s="1548"/>
      <c r="AG76" s="558"/>
      <c r="AH76" s="558"/>
      <c r="AI76" s="558"/>
      <c r="AJ76" s="558"/>
      <c r="AK76" s="1557">
        <v>11</v>
      </c>
    </row>
    <row r="77" spans="1:37" s="2335" customFormat="1" ht="11.45" customHeight="1">
      <c r="A77" s="910"/>
      <c r="B77" s="910"/>
      <c r="C77" s="910"/>
      <c r="D77" s="910"/>
      <c r="E77" s="910"/>
      <c r="F77" s="1552"/>
      <c r="G77" s="1552"/>
      <c r="H77" s="287"/>
      <c r="N77" s="1282"/>
      <c r="P77" s="1282"/>
      <c r="Q77" s="1552"/>
      <c r="R77" s="1552"/>
      <c r="S77" s="1282"/>
      <c r="T77" s="1282"/>
      <c r="U77" s="1282"/>
      <c r="V77" s="1282"/>
      <c r="W77" s="1552"/>
      <c r="X77" s="1282"/>
      <c r="Y77" s="1282"/>
      <c r="Z77" s="480"/>
      <c r="AA77" s="1282"/>
      <c r="AB77" s="1282"/>
      <c r="AC77" s="1282"/>
      <c r="AD77" s="1282"/>
      <c r="AE77" s="1282"/>
      <c r="AF77" s="1548"/>
      <c r="AG77" s="558"/>
      <c r="AH77" s="558"/>
      <c r="AI77" s="558"/>
      <c r="AJ77" s="558"/>
      <c r="AK77" s="1557">
        <v>11</v>
      </c>
    </row>
    <row r="78" spans="1:37" s="2335" customFormat="1" ht="11.45" customHeight="1">
      <c r="A78" s="910"/>
      <c r="B78" s="910"/>
      <c r="C78" s="910"/>
      <c r="D78" s="910"/>
      <c r="E78" s="910"/>
      <c r="F78" s="1552"/>
      <c r="G78" s="1552"/>
      <c r="H78" s="287"/>
      <c r="N78" s="1282"/>
      <c r="P78" s="1282"/>
      <c r="Q78" s="1552"/>
      <c r="R78" s="1552"/>
      <c r="S78" s="1282"/>
      <c r="T78" s="1282"/>
      <c r="U78" s="1282"/>
      <c r="V78" s="1282"/>
      <c r="W78" s="1552"/>
      <c r="X78" s="1282"/>
      <c r="Y78" s="1282"/>
      <c r="Z78" s="480"/>
      <c r="AA78" s="1282"/>
      <c r="AB78" s="1282"/>
      <c r="AC78" s="1282"/>
      <c r="AD78" s="1282"/>
      <c r="AE78" s="1282"/>
      <c r="AF78" s="1548"/>
      <c r="AG78" s="558"/>
      <c r="AH78" s="558"/>
      <c r="AI78" s="558"/>
      <c r="AJ78" s="558"/>
      <c r="AK78" s="1557">
        <v>11</v>
      </c>
    </row>
    <row r="79" spans="1:37" s="2335" customFormat="1" ht="11.45" customHeight="1">
      <c r="A79" s="910"/>
      <c r="B79" s="910"/>
      <c r="C79" s="910"/>
      <c r="D79" s="910"/>
      <c r="E79" s="910"/>
      <c r="F79" s="1552"/>
      <c r="G79" s="1552"/>
      <c r="H79" s="287"/>
      <c r="N79" s="1282"/>
      <c r="P79" s="1282"/>
      <c r="Q79" s="1552"/>
      <c r="R79" s="1552"/>
      <c r="S79" s="1282"/>
      <c r="T79" s="1282"/>
      <c r="U79" s="1282"/>
      <c r="V79" s="1282"/>
      <c r="W79" s="1552"/>
      <c r="X79" s="1282"/>
      <c r="Y79" s="1282"/>
      <c r="Z79" s="480"/>
      <c r="AA79" s="1282"/>
      <c r="AB79" s="1282"/>
      <c r="AC79" s="1282"/>
      <c r="AD79" s="1282"/>
      <c r="AE79" s="1282"/>
      <c r="AF79" s="1548"/>
      <c r="AG79" s="558"/>
      <c r="AH79" s="558"/>
      <c r="AI79" s="558"/>
      <c r="AJ79" s="558"/>
      <c r="AK79" s="1557">
        <v>11</v>
      </c>
    </row>
    <row r="80" spans="1:37" s="2335" customFormat="1" ht="11.45" customHeight="1">
      <c r="A80" s="910"/>
      <c r="B80" s="910"/>
      <c r="C80" s="910"/>
      <c r="D80" s="910"/>
      <c r="E80" s="910"/>
      <c r="F80" s="1552"/>
      <c r="G80" s="1552"/>
      <c r="H80" s="287"/>
      <c r="N80" s="1282"/>
      <c r="P80" s="1282"/>
      <c r="Q80" s="1552"/>
      <c r="R80" s="1552"/>
      <c r="S80" s="1282"/>
      <c r="T80" s="1282"/>
      <c r="U80" s="1282"/>
      <c r="V80" s="1282"/>
      <c r="W80" s="1552"/>
      <c r="X80" s="1282"/>
      <c r="Y80" s="1282"/>
      <c r="Z80" s="480"/>
      <c r="AA80" s="1282"/>
      <c r="AB80" s="1282"/>
      <c r="AC80" s="1282"/>
      <c r="AD80" s="1282"/>
      <c r="AE80" s="1282"/>
      <c r="AF80" s="1548"/>
      <c r="AG80" s="558"/>
      <c r="AH80" s="558"/>
      <c r="AI80" s="558"/>
      <c r="AJ80" s="558"/>
      <c r="AK80" s="1557">
        <v>11</v>
      </c>
    </row>
    <row r="81" spans="1:37" s="2335" customFormat="1" ht="11.45" customHeight="1">
      <c r="A81" s="910"/>
      <c r="B81" s="910"/>
      <c r="C81" s="910"/>
      <c r="D81" s="910"/>
      <c r="E81" s="910"/>
      <c r="F81" s="1552"/>
      <c r="G81" s="1552"/>
      <c r="H81" s="287"/>
      <c r="N81" s="1282"/>
      <c r="P81" s="1282"/>
      <c r="Q81" s="1552"/>
      <c r="R81" s="1552"/>
      <c r="S81" s="1282"/>
      <c r="T81" s="1282"/>
      <c r="U81" s="1282"/>
      <c r="V81" s="1282"/>
      <c r="W81" s="1552"/>
      <c r="X81" s="1282"/>
      <c r="Y81" s="1282"/>
      <c r="Z81" s="480"/>
      <c r="AA81" s="1282"/>
      <c r="AB81" s="1282"/>
      <c r="AC81" s="1282"/>
      <c r="AD81" s="1282"/>
      <c r="AE81" s="1282"/>
      <c r="AF81" s="1548"/>
      <c r="AG81" s="558"/>
      <c r="AH81" s="558"/>
      <c r="AI81" s="558"/>
      <c r="AJ81" s="558"/>
      <c r="AK81" s="1557">
        <v>11</v>
      </c>
    </row>
    <row r="82" spans="1:37" s="2335" customFormat="1" ht="11.45" customHeight="1">
      <c r="A82" s="910"/>
      <c r="B82" s="910"/>
      <c r="C82" s="910"/>
      <c r="D82" s="910"/>
      <c r="E82" s="910"/>
      <c r="F82" s="1552"/>
      <c r="G82" s="1552"/>
      <c r="H82" s="287"/>
      <c r="N82" s="1282"/>
      <c r="P82" s="1282"/>
      <c r="Q82" s="1552"/>
      <c r="R82" s="1552"/>
      <c r="S82" s="1282"/>
      <c r="T82" s="1282"/>
      <c r="U82" s="1282"/>
      <c r="V82" s="1282"/>
      <c r="W82" s="1552"/>
      <c r="X82" s="1282"/>
      <c r="Y82" s="1282"/>
      <c r="Z82" s="480"/>
      <c r="AA82" s="1282"/>
      <c r="AB82" s="1282"/>
      <c r="AC82" s="1282"/>
      <c r="AD82" s="1282"/>
      <c r="AE82" s="1282"/>
      <c r="AF82" s="1548"/>
      <c r="AG82" s="558"/>
      <c r="AH82" s="558"/>
      <c r="AI82" s="558"/>
      <c r="AJ82" s="558"/>
      <c r="AK82" s="1557">
        <v>11</v>
      </c>
    </row>
    <row r="83" spans="1:37" s="2335" customFormat="1" ht="11.45" customHeight="1">
      <c r="A83" s="910"/>
      <c r="B83" s="910"/>
      <c r="C83" s="910"/>
      <c r="D83" s="910"/>
      <c r="E83" s="910"/>
      <c r="F83" s="1552"/>
      <c r="G83" s="1552"/>
      <c r="H83" s="287"/>
      <c r="N83" s="1282"/>
      <c r="P83" s="1282"/>
      <c r="Q83" s="1552"/>
      <c r="R83" s="1552"/>
      <c r="S83" s="1282"/>
      <c r="T83" s="1282"/>
      <c r="U83" s="1282"/>
      <c r="V83" s="1282"/>
      <c r="W83" s="1552"/>
      <c r="X83" s="1282"/>
      <c r="Y83" s="1282"/>
      <c r="Z83" s="480"/>
      <c r="AA83" s="1282"/>
      <c r="AB83" s="1282"/>
      <c r="AC83" s="1282"/>
      <c r="AD83" s="1282"/>
      <c r="AE83" s="1282"/>
      <c r="AF83" s="1548"/>
      <c r="AG83" s="558"/>
      <c r="AH83" s="558"/>
      <c r="AI83" s="558"/>
      <c r="AJ83" s="558"/>
      <c r="AK83" s="1557">
        <v>11</v>
      </c>
    </row>
    <row r="84" spans="1:37" s="2335" customFormat="1" ht="11.45" customHeight="1">
      <c r="A84" s="910"/>
      <c r="B84" s="910"/>
      <c r="C84" s="910"/>
      <c r="D84" s="910"/>
      <c r="E84" s="910"/>
      <c r="F84" s="1552"/>
      <c r="G84" s="1552"/>
      <c r="H84" s="287"/>
      <c r="N84" s="1282"/>
      <c r="P84" s="1282"/>
      <c r="Q84" s="1552"/>
      <c r="R84" s="1552"/>
      <c r="S84" s="1282"/>
      <c r="T84" s="1282"/>
      <c r="U84" s="1282"/>
      <c r="V84" s="1282"/>
      <c r="W84" s="1552"/>
      <c r="X84" s="1282"/>
      <c r="Y84" s="1282"/>
      <c r="Z84" s="480"/>
      <c r="AA84" s="1282"/>
      <c r="AB84" s="1282"/>
      <c r="AC84" s="1282"/>
      <c r="AD84" s="1282"/>
      <c r="AE84" s="1282"/>
      <c r="AF84" s="1548"/>
      <c r="AG84" s="558"/>
      <c r="AH84" s="558"/>
      <c r="AI84" s="558"/>
      <c r="AJ84" s="558"/>
      <c r="AK84" s="1557">
        <v>11</v>
      </c>
    </row>
    <row r="85" spans="1:37" s="2335" customFormat="1" ht="11.45" customHeight="1">
      <c r="A85" s="910"/>
      <c r="B85" s="910"/>
      <c r="C85" s="910"/>
      <c r="D85" s="910"/>
      <c r="E85" s="910"/>
      <c r="F85" s="1552"/>
      <c r="G85" s="1552"/>
      <c r="H85" s="287"/>
      <c r="N85" s="1282"/>
      <c r="P85" s="1282"/>
      <c r="Q85" s="1552"/>
      <c r="R85" s="1552"/>
      <c r="S85" s="1282"/>
      <c r="T85" s="1282"/>
      <c r="U85" s="1282"/>
      <c r="V85" s="1282"/>
      <c r="W85" s="1552"/>
      <c r="X85" s="1282"/>
      <c r="Y85" s="1282"/>
      <c r="Z85" s="480"/>
      <c r="AA85" s="1282"/>
      <c r="AB85" s="1282"/>
      <c r="AC85" s="1282"/>
      <c r="AD85" s="1282"/>
      <c r="AE85" s="1282"/>
      <c r="AF85" s="1548"/>
      <c r="AG85" s="558"/>
      <c r="AH85" s="558"/>
      <c r="AI85" s="558"/>
      <c r="AJ85" s="558"/>
      <c r="AK85" s="1557">
        <v>11</v>
      </c>
    </row>
    <row r="86" spans="1:37" s="2335" customFormat="1" ht="11.45" customHeight="1">
      <c r="A86" s="910"/>
      <c r="B86" s="910"/>
      <c r="C86" s="910"/>
      <c r="D86" s="910"/>
      <c r="E86" s="910"/>
      <c r="F86" s="1552"/>
      <c r="G86" s="1552"/>
      <c r="H86" s="287"/>
      <c r="N86" s="1282"/>
      <c r="P86" s="1282"/>
      <c r="Q86" s="1552"/>
      <c r="R86" s="1552"/>
      <c r="S86" s="1282"/>
      <c r="T86" s="1282"/>
      <c r="U86" s="1282"/>
      <c r="V86" s="1282"/>
      <c r="W86" s="1552"/>
      <c r="X86" s="1282"/>
      <c r="Y86" s="1282"/>
      <c r="Z86" s="480"/>
      <c r="AA86" s="1282"/>
      <c r="AB86" s="1282"/>
      <c r="AC86" s="1282"/>
      <c r="AD86" s="1282"/>
      <c r="AE86" s="1282"/>
      <c r="AF86" s="1548"/>
      <c r="AG86" s="558"/>
      <c r="AH86" s="558"/>
      <c r="AI86" s="558"/>
      <c r="AJ86" s="558"/>
      <c r="AK86" s="1557">
        <v>11</v>
      </c>
    </row>
    <row r="87" spans="1:37" s="2335" customFormat="1" ht="11.45" customHeight="1">
      <c r="A87" s="910"/>
      <c r="B87" s="910"/>
      <c r="C87" s="910"/>
      <c r="D87" s="910"/>
      <c r="E87" s="910"/>
      <c r="F87" s="1552"/>
      <c r="G87" s="1552"/>
      <c r="H87" s="287"/>
      <c r="N87" s="1282"/>
      <c r="P87" s="1282"/>
      <c r="Q87" s="1552"/>
      <c r="R87" s="1552"/>
      <c r="S87" s="1282"/>
      <c r="T87" s="1282"/>
      <c r="U87" s="1282"/>
      <c r="V87" s="1282"/>
      <c r="W87" s="1552"/>
      <c r="X87" s="1282"/>
      <c r="Y87" s="1282"/>
      <c r="Z87" s="480"/>
      <c r="AA87" s="1282"/>
      <c r="AB87" s="1282"/>
      <c r="AC87" s="1282"/>
      <c r="AD87" s="1282"/>
      <c r="AE87" s="1282"/>
      <c r="AF87" s="1548"/>
      <c r="AG87" s="558"/>
      <c r="AH87" s="558"/>
      <c r="AI87" s="558"/>
      <c r="AJ87" s="558"/>
      <c r="AK87" s="1557">
        <v>11</v>
      </c>
    </row>
    <row r="88" spans="1:37" s="2335" customFormat="1" ht="11.45" customHeight="1">
      <c r="A88" s="910"/>
      <c r="B88" s="910"/>
      <c r="C88" s="910"/>
      <c r="D88" s="910"/>
      <c r="E88" s="910"/>
      <c r="F88" s="1552"/>
      <c r="G88" s="1552"/>
      <c r="H88" s="287"/>
      <c r="N88" s="1282"/>
      <c r="P88" s="1282"/>
      <c r="Q88" s="1552"/>
      <c r="R88" s="1552"/>
      <c r="S88" s="1282"/>
      <c r="T88" s="1282"/>
      <c r="U88" s="1282"/>
      <c r="V88" s="1282"/>
      <c r="W88" s="1552"/>
      <c r="X88" s="1282"/>
      <c r="Y88" s="1282"/>
      <c r="Z88" s="480"/>
      <c r="AA88" s="1282"/>
      <c r="AB88" s="1282"/>
      <c r="AC88" s="1282"/>
      <c r="AD88" s="1282"/>
      <c r="AE88" s="1282"/>
      <c r="AF88" s="1548"/>
      <c r="AG88" s="558"/>
      <c r="AH88" s="558"/>
      <c r="AI88" s="558"/>
      <c r="AJ88" s="558"/>
      <c r="AK88" s="1557">
        <v>11</v>
      </c>
    </row>
    <row r="89" spans="1:37" s="2335" customFormat="1" ht="11.45" customHeight="1">
      <c r="A89" s="910"/>
      <c r="B89" s="910"/>
      <c r="C89" s="910"/>
      <c r="D89" s="910"/>
      <c r="E89" s="910"/>
      <c r="F89" s="1552"/>
      <c r="G89" s="1552"/>
      <c r="H89" s="287"/>
      <c r="N89" s="1282"/>
      <c r="P89" s="1282"/>
      <c r="Q89" s="1552"/>
      <c r="R89" s="1552"/>
      <c r="S89" s="1282"/>
      <c r="T89" s="1282"/>
      <c r="U89" s="1282"/>
      <c r="V89" s="1282"/>
      <c r="W89" s="1552"/>
      <c r="X89" s="1282"/>
      <c r="Y89" s="1282"/>
      <c r="Z89" s="480"/>
      <c r="AA89" s="1282"/>
      <c r="AB89" s="1282"/>
      <c r="AC89" s="1282"/>
      <c r="AD89" s="1282"/>
      <c r="AE89" s="1282"/>
      <c r="AF89" s="1548"/>
      <c r="AG89" s="558"/>
      <c r="AH89" s="558"/>
      <c r="AI89" s="558"/>
      <c r="AJ89" s="558"/>
      <c r="AK89" s="1557">
        <v>11</v>
      </c>
    </row>
    <row r="90" spans="1:37" s="2335" customFormat="1" ht="11.45" customHeight="1">
      <c r="A90" s="910"/>
      <c r="B90" s="910"/>
      <c r="C90" s="910"/>
      <c r="D90" s="910"/>
      <c r="E90" s="910"/>
      <c r="F90" s="1552"/>
      <c r="G90" s="1552"/>
      <c r="H90" s="287"/>
      <c r="N90" s="1282"/>
      <c r="P90" s="1282"/>
      <c r="Q90" s="1552"/>
      <c r="R90" s="1552"/>
      <c r="S90" s="1282"/>
      <c r="T90" s="1282"/>
      <c r="U90" s="1282"/>
      <c r="V90" s="1282"/>
      <c r="W90" s="1552"/>
      <c r="X90" s="1282"/>
      <c r="Y90" s="1282"/>
      <c r="Z90" s="480"/>
      <c r="AA90" s="1282"/>
      <c r="AB90" s="1282"/>
      <c r="AC90" s="1282"/>
      <c r="AD90" s="1282"/>
      <c r="AE90" s="1282"/>
      <c r="AF90" s="1548"/>
      <c r="AG90" s="558"/>
      <c r="AH90" s="558"/>
      <c r="AI90" s="558"/>
      <c r="AJ90" s="558"/>
      <c r="AK90" s="1557">
        <v>11</v>
      </c>
    </row>
    <row r="91" spans="1:37" s="2335" customFormat="1" ht="11.45" customHeight="1">
      <c r="A91" s="910"/>
      <c r="B91" s="910"/>
      <c r="C91" s="910"/>
      <c r="D91" s="910"/>
      <c r="E91" s="910"/>
      <c r="F91" s="1552"/>
      <c r="G91" s="1552"/>
      <c r="H91" s="287"/>
      <c r="N91" s="1282"/>
      <c r="P91" s="1282"/>
      <c r="Q91" s="1552"/>
      <c r="R91" s="1552"/>
      <c r="S91" s="1282"/>
      <c r="T91" s="1282"/>
      <c r="U91" s="1282"/>
      <c r="V91" s="1282"/>
      <c r="W91" s="1552"/>
      <c r="X91" s="1282"/>
      <c r="Y91" s="1282"/>
      <c r="Z91" s="480"/>
      <c r="AA91" s="1282"/>
      <c r="AB91" s="1282"/>
      <c r="AC91" s="1282"/>
      <c r="AD91" s="1282"/>
      <c r="AE91" s="1282"/>
      <c r="AF91" s="1548"/>
      <c r="AG91" s="558"/>
      <c r="AH91" s="558"/>
      <c r="AI91" s="558"/>
      <c r="AJ91" s="558"/>
      <c r="AK91" s="1557">
        <v>11</v>
      </c>
    </row>
    <row r="92" spans="1:37" s="2335" customFormat="1" ht="11.45" customHeight="1">
      <c r="A92" s="910"/>
      <c r="B92" s="910"/>
      <c r="C92" s="910"/>
      <c r="D92" s="910"/>
      <c r="E92" s="910"/>
      <c r="F92" s="1552"/>
      <c r="G92" s="1552"/>
      <c r="H92" s="287"/>
      <c r="N92" s="1282"/>
      <c r="P92" s="1282"/>
      <c r="Q92" s="1552"/>
      <c r="R92" s="1552"/>
      <c r="S92" s="1282"/>
      <c r="T92" s="1282"/>
      <c r="U92" s="1282"/>
      <c r="V92" s="1282"/>
      <c r="W92" s="1552"/>
      <c r="X92" s="1282"/>
      <c r="Y92" s="1282"/>
      <c r="Z92" s="480"/>
      <c r="AA92" s="1282"/>
      <c r="AB92" s="1282"/>
      <c r="AC92" s="1282"/>
      <c r="AD92" s="1282"/>
      <c r="AE92" s="1282"/>
      <c r="AF92" s="1548"/>
      <c r="AG92" s="558"/>
      <c r="AH92" s="558"/>
      <c r="AI92" s="558"/>
      <c r="AJ92" s="558"/>
      <c r="AK92" s="1557">
        <v>11</v>
      </c>
    </row>
    <row r="93" spans="1:37" s="2335" customFormat="1" ht="11.45" customHeight="1">
      <c r="A93" s="910"/>
      <c r="B93" s="910"/>
      <c r="C93" s="910"/>
      <c r="D93" s="910"/>
      <c r="E93" s="910"/>
      <c r="F93" s="1552"/>
      <c r="G93" s="1552"/>
      <c r="H93" s="287"/>
      <c r="N93" s="1282"/>
      <c r="P93" s="1282"/>
      <c r="Q93" s="1552"/>
      <c r="R93" s="1552"/>
      <c r="S93" s="1282"/>
      <c r="T93" s="1282"/>
      <c r="U93" s="1282"/>
      <c r="V93" s="1282"/>
      <c r="W93" s="1552"/>
      <c r="X93" s="1282"/>
      <c r="Y93" s="1282"/>
      <c r="Z93" s="480"/>
      <c r="AA93" s="1282"/>
      <c r="AB93" s="1282"/>
      <c r="AC93" s="1282"/>
      <c r="AD93" s="1282"/>
      <c r="AE93" s="1282"/>
      <c r="AF93" s="1548"/>
      <c r="AG93" s="558"/>
      <c r="AH93" s="558"/>
      <c r="AI93" s="558"/>
      <c r="AJ93" s="558"/>
      <c r="AK93" s="1557">
        <v>11</v>
      </c>
    </row>
    <row r="94" spans="1:37" s="2335" customFormat="1" ht="11.45" customHeight="1">
      <c r="A94" s="910"/>
      <c r="B94" s="910"/>
      <c r="C94" s="910"/>
      <c r="D94" s="910"/>
      <c r="E94" s="910"/>
      <c r="F94" s="1552"/>
      <c r="G94" s="1552"/>
      <c r="H94" s="287"/>
      <c r="N94" s="1282"/>
      <c r="P94" s="1282"/>
      <c r="Q94" s="1552"/>
      <c r="R94" s="1552"/>
      <c r="S94" s="1282"/>
      <c r="T94" s="1282"/>
      <c r="U94" s="1282"/>
      <c r="V94" s="1282"/>
      <c r="W94" s="1552"/>
      <c r="X94" s="1282"/>
      <c r="Y94" s="1282"/>
      <c r="Z94" s="480"/>
      <c r="AA94" s="1282"/>
      <c r="AB94" s="1282"/>
      <c r="AC94" s="1282"/>
      <c r="AD94" s="1282"/>
      <c r="AE94" s="1282"/>
      <c r="AF94" s="1548"/>
      <c r="AG94" s="558"/>
      <c r="AH94" s="558"/>
      <c r="AI94" s="558"/>
      <c r="AJ94" s="558"/>
      <c r="AK94" s="1557">
        <v>11</v>
      </c>
    </row>
    <row r="95" spans="1:37" s="2335" customFormat="1" ht="11.45" customHeight="1">
      <c r="A95" s="910"/>
      <c r="B95" s="910"/>
      <c r="C95" s="910"/>
      <c r="D95" s="910"/>
      <c r="E95" s="910"/>
      <c r="F95" s="1552"/>
      <c r="G95" s="1552"/>
      <c r="H95" s="287"/>
      <c r="N95" s="1282"/>
      <c r="P95" s="1282"/>
      <c r="Q95" s="1552"/>
      <c r="R95" s="1552"/>
      <c r="S95" s="1282"/>
      <c r="T95" s="1282"/>
      <c r="U95" s="1282"/>
      <c r="V95" s="1282"/>
      <c r="W95" s="1552"/>
      <c r="X95" s="1282"/>
      <c r="Y95" s="1282"/>
      <c r="Z95" s="480"/>
      <c r="AA95" s="1282"/>
      <c r="AB95" s="1282"/>
      <c r="AC95" s="1282"/>
      <c r="AD95" s="1282"/>
      <c r="AE95" s="1282"/>
      <c r="AF95" s="1548"/>
      <c r="AG95" s="558"/>
      <c r="AH95" s="558"/>
      <c r="AI95" s="558"/>
      <c r="AJ95" s="558"/>
      <c r="AK95" s="1557">
        <v>11</v>
      </c>
    </row>
    <row r="96" spans="1:37" s="2335" customFormat="1" ht="11.45" customHeight="1">
      <c r="A96" s="910"/>
      <c r="B96" s="910"/>
      <c r="C96" s="910"/>
      <c r="D96" s="910"/>
      <c r="E96" s="910"/>
      <c r="F96" s="1552"/>
      <c r="G96" s="1552"/>
      <c r="H96" s="287"/>
      <c r="N96" s="1282"/>
      <c r="P96" s="1282"/>
      <c r="Q96" s="1552"/>
      <c r="R96" s="1552"/>
      <c r="S96" s="1282"/>
      <c r="T96" s="1282"/>
      <c r="U96" s="1282"/>
      <c r="V96" s="1282"/>
      <c r="W96" s="1552"/>
      <c r="X96" s="1282"/>
      <c r="Y96" s="1282"/>
      <c r="Z96" s="480"/>
      <c r="AA96" s="1282"/>
      <c r="AB96" s="1282"/>
      <c r="AC96" s="1282"/>
      <c r="AD96" s="1282"/>
      <c r="AE96" s="1282"/>
      <c r="AF96" s="1548"/>
      <c r="AG96" s="558"/>
      <c r="AH96" s="558"/>
      <c r="AI96" s="558"/>
      <c r="AJ96" s="558"/>
      <c r="AK96" s="1557">
        <v>11</v>
      </c>
    </row>
    <row r="97" spans="1:37" s="2335" customFormat="1" ht="11.45" customHeight="1">
      <c r="A97" s="910"/>
      <c r="B97" s="910"/>
      <c r="C97" s="910"/>
      <c r="D97" s="910"/>
      <c r="E97" s="910"/>
      <c r="F97" s="1552"/>
      <c r="G97" s="1552"/>
      <c r="H97" s="287"/>
      <c r="N97" s="1282"/>
      <c r="P97" s="1282"/>
      <c r="Q97" s="1552"/>
      <c r="R97" s="1552"/>
      <c r="S97" s="1282"/>
      <c r="T97" s="1282"/>
      <c r="U97" s="1282"/>
      <c r="V97" s="1282"/>
      <c r="W97" s="1552"/>
      <c r="X97" s="1282"/>
      <c r="Y97" s="1282"/>
      <c r="Z97" s="480"/>
      <c r="AA97" s="1282"/>
      <c r="AB97" s="1282"/>
      <c r="AC97" s="1282"/>
      <c r="AD97" s="1282"/>
      <c r="AE97" s="1282"/>
      <c r="AF97" s="1548"/>
      <c r="AG97" s="558"/>
      <c r="AH97" s="558"/>
      <c r="AI97" s="558"/>
      <c r="AJ97" s="558"/>
      <c r="AK97" s="1557">
        <v>11</v>
      </c>
    </row>
    <row r="98" spans="1:37" s="2335" customFormat="1" ht="11.45" customHeight="1">
      <c r="A98" s="910"/>
      <c r="B98" s="910"/>
      <c r="C98" s="910"/>
      <c r="D98" s="910"/>
      <c r="E98" s="910"/>
      <c r="F98" s="1552"/>
      <c r="G98" s="1552"/>
      <c r="H98" s="287"/>
      <c r="N98" s="1282"/>
      <c r="P98" s="1282"/>
      <c r="Q98" s="1552"/>
      <c r="R98" s="1552"/>
      <c r="S98" s="1282"/>
      <c r="T98" s="1282"/>
      <c r="U98" s="1282"/>
      <c r="V98" s="1282"/>
      <c r="W98" s="1552"/>
      <c r="X98" s="1282"/>
      <c r="Y98" s="1282"/>
      <c r="Z98" s="480"/>
      <c r="AA98" s="1282"/>
      <c r="AB98" s="1282"/>
      <c r="AC98" s="1282"/>
      <c r="AD98" s="1282"/>
      <c r="AE98" s="1282"/>
      <c r="AF98" s="1548"/>
      <c r="AG98" s="558"/>
      <c r="AH98" s="558"/>
      <c r="AI98" s="558"/>
      <c r="AJ98" s="558"/>
      <c r="AK98" s="1557">
        <v>11</v>
      </c>
    </row>
    <row r="99" spans="1:37" s="2335" customFormat="1" ht="11.45" customHeight="1">
      <c r="A99" s="910"/>
      <c r="B99" s="910"/>
      <c r="C99" s="910"/>
      <c r="D99" s="910"/>
      <c r="E99" s="910"/>
      <c r="F99" s="1552"/>
      <c r="G99" s="1552"/>
      <c r="H99" s="287"/>
      <c r="N99" s="1282"/>
      <c r="P99" s="1282"/>
      <c r="Q99" s="1552"/>
      <c r="R99" s="1552"/>
      <c r="S99" s="1282"/>
      <c r="T99" s="1282"/>
      <c r="U99" s="1282"/>
      <c r="V99" s="1282"/>
      <c r="W99" s="1552"/>
      <c r="X99" s="1282"/>
      <c r="Y99" s="1282"/>
      <c r="Z99" s="480"/>
      <c r="AA99" s="1282"/>
      <c r="AB99" s="1282"/>
      <c r="AC99" s="1282"/>
      <c r="AD99" s="1282"/>
      <c r="AE99" s="1282"/>
      <c r="AF99" s="1548"/>
      <c r="AG99" s="558"/>
      <c r="AH99" s="558"/>
      <c r="AI99" s="558"/>
      <c r="AJ99" s="558"/>
      <c r="AK99" s="1557">
        <v>11</v>
      </c>
    </row>
    <row r="100" spans="1:37" s="2335" customFormat="1" ht="11.45" customHeight="1">
      <c r="A100" s="910"/>
      <c r="B100" s="910"/>
      <c r="C100" s="910"/>
      <c r="D100" s="910"/>
      <c r="E100" s="910"/>
      <c r="F100" s="1552"/>
      <c r="G100" s="1552"/>
      <c r="H100" s="287"/>
      <c r="N100" s="1282"/>
      <c r="P100" s="1282"/>
      <c r="Q100" s="1552"/>
      <c r="R100" s="1552"/>
      <c r="S100" s="1282"/>
      <c r="T100" s="1282"/>
      <c r="U100" s="1282"/>
      <c r="V100" s="1282"/>
      <c r="W100" s="1552"/>
      <c r="X100" s="1282"/>
      <c r="Y100" s="1282"/>
      <c r="Z100" s="480"/>
      <c r="AA100" s="1282"/>
      <c r="AB100" s="1282"/>
      <c r="AC100" s="1282"/>
      <c r="AD100" s="1282"/>
      <c r="AE100" s="1282"/>
      <c r="AF100" s="1548"/>
      <c r="AG100" s="558"/>
      <c r="AH100" s="558"/>
      <c r="AI100" s="558"/>
      <c r="AJ100" s="558"/>
      <c r="AK100" s="1557">
        <v>11</v>
      </c>
    </row>
    <row r="101" spans="1:37" s="2335" customFormat="1" ht="11.45" customHeight="1">
      <c r="A101" s="910"/>
      <c r="B101" s="910"/>
      <c r="C101" s="910"/>
      <c r="D101" s="910"/>
      <c r="E101" s="910"/>
      <c r="F101" s="1552"/>
      <c r="G101" s="1552"/>
      <c r="H101" s="287"/>
      <c r="N101" s="1282"/>
      <c r="P101" s="1282"/>
      <c r="Q101" s="1552"/>
      <c r="R101" s="1552"/>
      <c r="S101" s="1282"/>
      <c r="T101" s="1282"/>
      <c r="U101" s="1282"/>
      <c r="V101" s="1282"/>
      <c r="W101" s="1552"/>
      <c r="X101" s="1282"/>
      <c r="Y101" s="1282"/>
      <c r="Z101" s="480"/>
      <c r="AA101" s="1282"/>
      <c r="AB101" s="1282"/>
      <c r="AC101" s="1282"/>
      <c r="AD101" s="1282"/>
      <c r="AE101" s="1282"/>
      <c r="AF101" s="1548"/>
      <c r="AG101" s="558"/>
      <c r="AH101" s="558"/>
      <c r="AI101" s="558"/>
      <c r="AJ101" s="558"/>
      <c r="AK101" s="1557">
        <v>11</v>
      </c>
    </row>
    <row r="102" spans="1:37" s="2335" customFormat="1" ht="11.45" customHeight="1">
      <c r="A102" s="910"/>
      <c r="B102" s="910"/>
      <c r="C102" s="910"/>
      <c r="D102" s="910"/>
      <c r="E102" s="910"/>
      <c r="F102" s="1552"/>
      <c r="G102" s="1552"/>
      <c r="H102" s="287"/>
      <c r="N102" s="1282"/>
      <c r="P102" s="1282"/>
      <c r="Q102" s="1552"/>
      <c r="R102" s="1552"/>
      <c r="S102" s="1282"/>
      <c r="T102" s="1282"/>
      <c r="U102" s="1282"/>
      <c r="V102" s="1282"/>
      <c r="W102" s="1552"/>
      <c r="X102" s="1282"/>
      <c r="Y102" s="1282"/>
      <c r="Z102" s="480"/>
      <c r="AA102" s="1282"/>
      <c r="AB102" s="1282"/>
      <c r="AC102" s="1282"/>
      <c r="AD102" s="1282"/>
      <c r="AE102" s="1282"/>
      <c r="AF102" s="1548"/>
      <c r="AG102" s="558"/>
      <c r="AH102" s="558"/>
      <c r="AI102" s="558"/>
      <c r="AJ102" s="558"/>
      <c r="AK102" s="1557">
        <v>11</v>
      </c>
    </row>
    <row r="103" spans="1:37" s="2335" customFormat="1" ht="11.45" customHeight="1">
      <c r="A103" s="910"/>
      <c r="B103" s="910"/>
      <c r="C103" s="910"/>
      <c r="D103" s="910"/>
      <c r="E103" s="910"/>
      <c r="F103" s="1552"/>
      <c r="G103" s="1552"/>
      <c r="H103" s="287"/>
      <c r="N103" s="1282"/>
      <c r="P103" s="1282"/>
      <c r="Q103" s="1552"/>
      <c r="R103" s="1552"/>
      <c r="S103" s="1282"/>
      <c r="T103" s="1282"/>
      <c r="U103" s="1282"/>
      <c r="V103" s="1282"/>
      <c r="W103" s="1552"/>
      <c r="X103" s="1282"/>
      <c r="Y103" s="1282"/>
      <c r="Z103" s="480"/>
      <c r="AA103" s="1282"/>
      <c r="AB103" s="1282"/>
      <c r="AC103" s="1282"/>
      <c r="AD103" s="1282"/>
      <c r="AE103" s="1282"/>
      <c r="AF103" s="1548"/>
      <c r="AG103" s="558"/>
      <c r="AH103" s="558"/>
      <c r="AI103" s="558"/>
      <c r="AJ103" s="558"/>
      <c r="AK103" s="1557">
        <v>11</v>
      </c>
    </row>
    <row r="104" spans="1:37" s="2335" customFormat="1" ht="11.45" customHeight="1">
      <c r="A104" s="910"/>
      <c r="B104" s="910"/>
      <c r="C104" s="910"/>
      <c r="D104" s="910"/>
      <c r="E104" s="910"/>
      <c r="F104" s="1552"/>
      <c r="G104" s="1552"/>
      <c r="H104" s="287"/>
      <c r="N104" s="1282"/>
      <c r="P104" s="1282"/>
      <c r="Q104" s="1552"/>
      <c r="R104" s="1552"/>
      <c r="S104" s="1282"/>
      <c r="T104" s="1282"/>
      <c r="U104" s="1282"/>
      <c r="V104" s="1282"/>
      <c r="W104" s="1552"/>
      <c r="X104" s="1282"/>
      <c r="Y104" s="1282"/>
      <c r="Z104" s="480"/>
      <c r="AA104" s="1282"/>
      <c r="AB104" s="1282"/>
      <c r="AC104" s="1282"/>
      <c r="AD104" s="1282"/>
      <c r="AE104" s="1282"/>
      <c r="AF104" s="1548"/>
      <c r="AG104" s="558"/>
      <c r="AH104" s="558"/>
      <c r="AI104" s="558"/>
      <c r="AJ104" s="558"/>
      <c r="AK104" s="1557">
        <v>11</v>
      </c>
    </row>
    <row r="105" spans="1:37" s="2335" customFormat="1" ht="11.45" customHeight="1">
      <c r="A105" s="910"/>
      <c r="B105" s="910"/>
      <c r="C105" s="910"/>
      <c r="D105" s="910"/>
      <c r="E105" s="910"/>
      <c r="F105" s="1552"/>
      <c r="G105" s="1552"/>
      <c r="H105" s="287"/>
      <c r="N105" s="1282"/>
      <c r="P105" s="1282"/>
      <c r="Q105" s="1552"/>
      <c r="R105" s="1552"/>
      <c r="S105" s="1282"/>
      <c r="T105" s="1282"/>
      <c r="U105" s="1282"/>
      <c r="V105" s="1282"/>
      <c r="W105" s="1552"/>
      <c r="X105" s="1282"/>
      <c r="Y105" s="1282"/>
      <c r="Z105" s="480"/>
      <c r="AA105" s="1282"/>
      <c r="AB105" s="1282"/>
      <c r="AC105" s="1282"/>
      <c r="AD105" s="1282"/>
      <c r="AE105" s="1282"/>
      <c r="AF105" s="1548"/>
      <c r="AG105" s="558"/>
      <c r="AH105" s="558"/>
      <c r="AI105" s="558"/>
      <c r="AJ105" s="558"/>
      <c r="AK105" s="1557">
        <v>11</v>
      </c>
    </row>
    <row r="106" spans="1:37" s="2335" customFormat="1" ht="11.45" customHeight="1">
      <c r="A106" s="910"/>
      <c r="B106" s="910"/>
      <c r="C106" s="910"/>
      <c r="D106" s="910"/>
      <c r="E106" s="910"/>
      <c r="F106" s="1552"/>
      <c r="G106" s="1552"/>
      <c r="H106" s="287"/>
      <c r="N106" s="1282"/>
      <c r="P106" s="1282"/>
      <c r="Q106" s="1552"/>
      <c r="R106" s="1552"/>
      <c r="S106" s="1282"/>
      <c r="T106" s="1282"/>
      <c r="U106" s="1282"/>
      <c r="V106" s="1282"/>
      <c r="W106" s="1552"/>
      <c r="X106" s="1282"/>
      <c r="Y106" s="1282"/>
      <c r="Z106" s="480"/>
      <c r="AA106" s="1282"/>
      <c r="AB106" s="1282"/>
      <c r="AC106" s="1282"/>
      <c r="AD106" s="1282"/>
      <c r="AE106" s="1282"/>
      <c r="AF106" s="1548"/>
      <c r="AG106" s="558"/>
      <c r="AH106" s="558"/>
      <c r="AI106" s="558"/>
      <c r="AJ106" s="558"/>
      <c r="AK106" s="1557">
        <v>11</v>
      </c>
    </row>
    <row r="107" spans="1:37" s="2335" customFormat="1" ht="11.45" customHeight="1">
      <c r="A107" s="910"/>
      <c r="B107" s="910"/>
      <c r="C107" s="910"/>
      <c r="D107" s="910"/>
      <c r="E107" s="910"/>
      <c r="F107" s="1552"/>
      <c r="G107" s="1552"/>
      <c r="H107" s="287"/>
      <c r="N107" s="1282"/>
      <c r="P107" s="1282"/>
      <c r="Q107" s="1552"/>
      <c r="R107" s="1552"/>
      <c r="S107" s="1282"/>
      <c r="T107" s="1282"/>
      <c r="U107" s="1282"/>
      <c r="V107" s="1282"/>
      <c r="W107" s="1552"/>
      <c r="X107" s="1282"/>
      <c r="Y107" s="1282"/>
      <c r="Z107" s="480"/>
      <c r="AA107" s="1282"/>
      <c r="AB107" s="1282"/>
      <c r="AC107" s="1282"/>
      <c r="AD107" s="1282"/>
      <c r="AE107" s="1282"/>
      <c r="AF107" s="1548"/>
      <c r="AG107" s="558"/>
      <c r="AH107" s="558"/>
      <c r="AI107" s="558"/>
      <c r="AJ107" s="558"/>
      <c r="AK107" s="1557">
        <v>11</v>
      </c>
    </row>
    <row r="108" spans="1:37" s="2335" customFormat="1" ht="11.45" customHeight="1">
      <c r="A108" s="910"/>
      <c r="B108" s="910"/>
      <c r="C108" s="910"/>
      <c r="D108" s="910"/>
      <c r="E108" s="910"/>
      <c r="F108" s="1552"/>
      <c r="G108" s="1552"/>
      <c r="H108" s="287"/>
      <c r="N108" s="1282"/>
      <c r="P108" s="1282"/>
      <c r="Q108" s="1552"/>
      <c r="R108" s="1552"/>
      <c r="S108" s="1282"/>
      <c r="T108" s="1282"/>
      <c r="U108" s="1282"/>
      <c r="V108" s="1282"/>
      <c r="W108" s="1552"/>
      <c r="X108" s="1282"/>
      <c r="Y108" s="1282"/>
      <c r="Z108" s="480"/>
      <c r="AA108" s="1282"/>
      <c r="AB108" s="1282"/>
      <c r="AC108" s="1282"/>
      <c r="AD108" s="1282"/>
      <c r="AE108" s="1282"/>
      <c r="AF108" s="1548"/>
      <c r="AG108" s="558"/>
      <c r="AH108" s="558"/>
      <c r="AI108" s="558"/>
      <c r="AJ108" s="558"/>
      <c r="AK108" s="1557">
        <v>11</v>
      </c>
    </row>
    <row r="109" spans="1:37" s="2335" customFormat="1" ht="11.45" customHeight="1">
      <c r="A109" s="910"/>
      <c r="B109" s="910"/>
      <c r="C109" s="910"/>
      <c r="D109" s="910"/>
      <c r="E109" s="910"/>
      <c r="F109" s="1552"/>
      <c r="G109" s="1552"/>
      <c r="H109" s="287"/>
      <c r="N109" s="1282"/>
      <c r="P109" s="1282"/>
      <c r="Q109" s="1552"/>
      <c r="R109" s="1552"/>
      <c r="S109" s="1282"/>
      <c r="T109" s="1282"/>
      <c r="U109" s="1282"/>
      <c r="V109" s="1282"/>
      <c r="W109" s="1552"/>
      <c r="X109" s="1282"/>
      <c r="Y109" s="1282"/>
      <c r="Z109" s="480"/>
      <c r="AA109" s="1282"/>
      <c r="AB109" s="1282"/>
      <c r="AC109" s="1282"/>
      <c r="AD109" s="1282"/>
      <c r="AE109" s="1282"/>
      <c r="AF109" s="1548"/>
      <c r="AG109" s="558"/>
      <c r="AH109" s="558"/>
      <c r="AI109" s="558"/>
      <c r="AJ109" s="558"/>
      <c r="AK109" s="1557">
        <v>11</v>
      </c>
    </row>
    <row r="110" spans="1:37" s="2335" customFormat="1" ht="11.45" customHeight="1">
      <c r="A110" s="910"/>
      <c r="B110" s="910"/>
      <c r="C110" s="910"/>
      <c r="D110" s="910"/>
      <c r="E110" s="910"/>
      <c r="F110" s="1552"/>
      <c r="G110" s="1552"/>
      <c r="H110" s="287"/>
      <c r="N110" s="1282"/>
      <c r="P110" s="1282"/>
      <c r="Q110" s="1552"/>
      <c r="R110" s="1552"/>
      <c r="S110" s="1282"/>
      <c r="T110" s="1282"/>
      <c r="U110" s="1282"/>
      <c r="V110" s="1282"/>
      <c r="W110" s="1552"/>
      <c r="X110" s="1282"/>
      <c r="Y110" s="1282"/>
      <c r="Z110" s="480"/>
      <c r="AA110" s="1282"/>
      <c r="AB110" s="1282"/>
      <c r="AC110" s="1282"/>
      <c r="AD110" s="1282"/>
      <c r="AE110" s="1282"/>
      <c r="AF110" s="1548"/>
      <c r="AG110" s="558"/>
      <c r="AH110" s="558"/>
      <c r="AI110" s="558"/>
      <c r="AJ110" s="558"/>
      <c r="AK110" s="1557">
        <v>11</v>
      </c>
    </row>
    <row r="111" spans="1:37" s="2335" customFormat="1" ht="11.45" customHeight="1">
      <c r="A111" s="910"/>
      <c r="B111" s="910"/>
      <c r="C111" s="910"/>
      <c r="D111" s="910"/>
      <c r="E111" s="910"/>
      <c r="F111" s="1552"/>
      <c r="G111" s="1552"/>
      <c r="H111" s="287"/>
      <c r="N111" s="1282"/>
      <c r="P111" s="1282"/>
      <c r="Q111" s="1552"/>
      <c r="R111" s="1552"/>
      <c r="S111" s="1282"/>
      <c r="T111" s="1282"/>
      <c r="U111" s="1282"/>
      <c r="V111" s="1282"/>
      <c r="W111" s="1552"/>
      <c r="X111" s="1282"/>
      <c r="Y111" s="1282"/>
      <c r="Z111" s="480"/>
      <c r="AA111" s="1282"/>
      <c r="AB111" s="1282"/>
      <c r="AC111" s="1282"/>
      <c r="AD111" s="1282"/>
      <c r="AE111" s="1282"/>
      <c r="AF111" s="1548"/>
      <c r="AG111" s="558"/>
      <c r="AH111" s="558"/>
      <c r="AI111" s="558"/>
      <c r="AJ111" s="558"/>
      <c r="AK111" s="1557">
        <v>11</v>
      </c>
    </row>
    <row r="112" spans="1:37" s="2335" customFormat="1" ht="11.45" customHeight="1">
      <c r="A112" s="910"/>
      <c r="B112" s="910"/>
      <c r="C112" s="910"/>
      <c r="D112" s="910"/>
      <c r="E112" s="910"/>
      <c r="F112" s="1552"/>
      <c r="G112" s="1552"/>
      <c r="H112" s="287"/>
      <c r="N112" s="1282"/>
      <c r="P112" s="1282"/>
      <c r="Q112" s="1552"/>
      <c r="R112" s="1552"/>
      <c r="S112" s="1282"/>
      <c r="T112" s="1282"/>
      <c r="U112" s="1282"/>
      <c r="V112" s="1282"/>
      <c r="W112" s="1552"/>
      <c r="X112" s="1282"/>
      <c r="Y112" s="1282"/>
      <c r="Z112" s="480"/>
      <c r="AA112" s="1282"/>
      <c r="AB112" s="1282"/>
      <c r="AC112" s="1282"/>
      <c r="AD112" s="1282"/>
      <c r="AE112" s="1282"/>
      <c r="AF112" s="1548"/>
      <c r="AG112" s="558"/>
      <c r="AH112" s="558"/>
      <c r="AI112" s="558"/>
      <c r="AJ112" s="558"/>
      <c r="AK112" s="1557">
        <v>11</v>
      </c>
    </row>
    <row r="113" spans="1:37" s="2335" customFormat="1" ht="11.45" customHeight="1">
      <c r="A113" s="910"/>
      <c r="B113" s="910"/>
      <c r="C113" s="910"/>
      <c r="D113" s="910"/>
      <c r="E113" s="910"/>
      <c r="F113" s="1552"/>
      <c r="G113" s="1552"/>
      <c r="H113" s="287"/>
      <c r="N113" s="1282"/>
      <c r="P113" s="1282"/>
      <c r="Q113" s="1552"/>
      <c r="R113" s="1552"/>
      <c r="S113" s="1282"/>
      <c r="T113" s="1282"/>
      <c r="U113" s="1282"/>
      <c r="V113" s="1282"/>
      <c r="W113" s="1552"/>
      <c r="X113" s="1282"/>
      <c r="Y113" s="1282"/>
      <c r="Z113" s="480"/>
      <c r="AA113" s="1282"/>
      <c r="AB113" s="1282"/>
      <c r="AC113" s="1282"/>
      <c r="AD113" s="1282"/>
      <c r="AE113" s="1282"/>
      <c r="AF113" s="1548"/>
      <c r="AG113" s="558"/>
      <c r="AH113" s="558"/>
      <c r="AI113" s="558"/>
      <c r="AJ113" s="558"/>
      <c r="AK113" s="1557">
        <v>11</v>
      </c>
    </row>
    <row r="114" spans="1:37" s="2335" customFormat="1" ht="11.45" customHeight="1">
      <c r="A114" s="910"/>
      <c r="B114" s="910"/>
      <c r="C114" s="910"/>
      <c r="D114" s="910"/>
      <c r="E114" s="910"/>
      <c r="F114" s="1552"/>
      <c r="G114" s="1552"/>
      <c r="H114" s="287"/>
      <c r="N114" s="1282"/>
      <c r="P114" s="1282"/>
      <c r="Q114" s="1552"/>
      <c r="R114" s="1552"/>
      <c r="S114" s="1282"/>
      <c r="T114" s="1282"/>
      <c r="U114" s="1282"/>
      <c r="V114" s="1282"/>
      <c r="W114" s="1552"/>
      <c r="X114" s="1282"/>
      <c r="Y114" s="1282"/>
      <c r="Z114" s="480"/>
      <c r="AA114" s="1282"/>
      <c r="AB114" s="1282"/>
      <c r="AC114" s="1282"/>
      <c r="AD114" s="1282"/>
      <c r="AE114" s="1282"/>
      <c r="AF114" s="1548"/>
      <c r="AG114" s="558"/>
      <c r="AH114" s="558"/>
      <c r="AI114" s="558"/>
      <c r="AJ114" s="558"/>
      <c r="AK114" s="1557">
        <v>11</v>
      </c>
    </row>
    <row r="115" spans="1:37" s="2335" customFormat="1" ht="11.45" customHeight="1">
      <c r="A115" s="910"/>
      <c r="B115" s="910"/>
      <c r="C115" s="910"/>
      <c r="D115" s="910"/>
      <c r="E115" s="910"/>
      <c r="F115" s="1552"/>
      <c r="G115" s="1552"/>
      <c r="H115" s="287"/>
      <c r="N115" s="1282"/>
      <c r="P115" s="1282"/>
      <c r="Q115" s="1552"/>
      <c r="R115" s="1552"/>
      <c r="S115" s="1282"/>
      <c r="T115" s="1282"/>
      <c r="U115" s="1282"/>
      <c r="V115" s="1282"/>
      <c r="W115" s="1552"/>
      <c r="X115" s="1282"/>
      <c r="Y115" s="1282"/>
      <c r="Z115" s="480"/>
      <c r="AA115" s="1282"/>
      <c r="AB115" s="1282"/>
      <c r="AC115" s="1282"/>
      <c r="AD115" s="1282"/>
      <c r="AE115" s="1282"/>
      <c r="AF115" s="1548"/>
      <c r="AG115" s="558"/>
      <c r="AH115" s="558"/>
      <c r="AI115" s="558"/>
      <c r="AJ115" s="558"/>
      <c r="AK115" s="1557">
        <v>11</v>
      </c>
    </row>
    <row r="116" spans="1:37" s="2335" customFormat="1" ht="11.45" customHeight="1">
      <c r="A116" s="910"/>
      <c r="B116" s="910"/>
      <c r="C116" s="910"/>
      <c r="D116" s="910"/>
      <c r="E116" s="910"/>
      <c r="F116" s="1552"/>
      <c r="G116" s="1552"/>
      <c r="H116" s="287"/>
      <c r="N116" s="1282"/>
      <c r="P116" s="1282"/>
      <c r="Q116" s="1552"/>
      <c r="R116" s="1552"/>
      <c r="S116" s="1282"/>
      <c r="T116" s="1282"/>
      <c r="U116" s="1282"/>
      <c r="V116" s="1282"/>
      <c r="W116" s="1552"/>
      <c r="X116" s="1282"/>
      <c r="Y116" s="1282"/>
      <c r="Z116" s="480"/>
      <c r="AA116" s="1282"/>
      <c r="AB116" s="1282"/>
      <c r="AC116" s="1282"/>
      <c r="AD116" s="1282"/>
      <c r="AE116" s="1282"/>
      <c r="AF116" s="1548"/>
      <c r="AG116" s="558"/>
      <c r="AH116" s="558"/>
      <c r="AI116" s="558"/>
      <c r="AJ116" s="558"/>
      <c r="AK116" s="1557">
        <v>11</v>
      </c>
    </row>
    <row r="117" spans="1:37" s="2335" customFormat="1" ht="11.45" customHeight="1">
      <c r="A117" s="910"/>
      <c r="B117" s="910"/>
      <c r="C117" s="910"/>
      <c r="D117" s="910"/>
      <c r="E117" s="910"/>
      <c r="F117" s="1552"/>
      <c r="G117" s="1552"/>
      <c r="H117" s="287"/>
      <c r="N117" s="1282"/>
      <c r="P117" s="1282"/>
      <c r="Q117" s="1552"/>
      <c r="R117" s="1552"/>
      <c r="S117" s="1282"/>
      <c r="T117" s="1282"/>
      <c r="U117" s="1282"/>
      <c r="V117" s="1282"/>
      <c r="W117" s="1552"/>
      <c r="X117" s="1282"/>
      <c r="Y117" s="1282"/>
      <c r="Z117" s="480"/>
      <c r="AA117" s="1282"/>
      <c r="AB117" s="1282"/>
      <c r="AC117" s="1282"/>
      <c r="AD117" s="1282"/>
      <c r="AE117" s="1282"/>
      <c r="AF117" s="1548"/>
      <c r="AG117" s="558"/>
      <c r="AH117" s="558"/>
      <c r="AI117" s="558"/>
      <c r="AJ117" s="558"/>
      <c r="AK117" s="1557">
        <v>11</v>
      </c>
    </row>
    <row r="118" spans="1:37" s="2335" customFormat="1" ht="11.45" customHeight="1">
      <c r="A118" s="910"/>
      <c r="B118" s="910"/>
      <c r="C118" s="910"/>
      <c r="D118" s="910"/>
      <c r="E118" s="910"/>
      <c r="F118" s="1552"/>
      <c r="G118" s="1552"/>
      <c r="H118" s="287"/>
      <c r="N118" s="1282"/>
      <c r="P118" s="1282"/>
      <c r="Q118" s="1552"/>
      <c r="R118" s="1552"/>
      <c r="S118" s="1282"/>
      <c r="T118" s="1282"/>
      <c r="U118" s="1282"/>
      <c r="V118" s="1282"/>
      <c r="W118" s="1552"/>
      <c r="X118" s="1282"/>
      <c r="Y118" s="1282"/>
      <c r="Z118" s="480"/>
      <c r="AA118" s="1282"/>
      <c r="AB118" s="1282"/>
      <c r="AC118" s="1282"/>
      <c r="AD118" s="1282"/>
      <c r="AE118" s="1282"/>
      <c r="AF118" s="1548"/>
      <c r="AG118" s="558"/>
      <c r="AH118" s="558"/>
      <c r="AI118" s="558"/>
      <c r="AJ118" s="558"/>
      <c r="AK118" s="1557">
        <v>11</v>
      </c>
    </row>
    <row r="119" spans="1:37" s="2335" customFormat="1" ht="11.45" customHeight="1">
      <c r="A119" s="910"/>
      <c r="B119" s="910"/>
      <c r="C119" s="910"/>
      <c r="D119" s="910"/>
      <c r="E119" s="910"/>
      <c r="F119" s="1552"/>
      <c r="G119" s="1552"/>
      <c r="H119" s="287"/>
      <c r="N119" s="1282"/>
      <c r="P119" s="1282"/>
      <c r="Q119" s="1552"/>
      <c r="R119" s="1552"/>
      <c r="S119" s="1282"/>
      <c r="T119" s="1282"/>
      <c r="U119" s="1282"/>
      <c r="V119" s="1282"/>
      <c r="W119" s="1552"/>
      <c r="X119" s="1282"/>
      <c r="Y119" s="1282"/>
      <c r="Z119" s="480"/>
      <c r="AA119" s="1282"/>
      <c r="AB119" s="1282"/>
      <c r="AC119" s="1282"/>
      <c r="AD119" s="1282"/>
      <c r="AE119" s="1282"/>
      <c r="AF119" s="1548"/>
      <c r="AG119" s="558"/>
      <c r="AH119" s="558"/>
      <c r="AI119" s="558"/>
      <c r="AJ119" s="558"/>
      <c r="AK119" s="1557">
        <v>11</v>
      </c>
    </row>
    <row r="120" spans="1:37" s="2335" customFormat="1" ht="11.45" customHeight="1">
      <c r="A120" s="910"/>
      <c r="B120" s="910"/>
      <c r="C120" s="910"/>
      <c r="D120" s="910"/>
      <c r="E120" s="910"/>
      <c r="F120" s="1552"/>
      <c r="G120" s="1552"/>
      <c r="H120" s="287"/>
      <c r="N120" s="1282"/>
      <c r="P120" s="1282"/>
      <c r="Q120" s="1552"/>
      <c r="R120" s="1552"/>
      <c r="S120" s="1282"/>
      <c r="T120" s="1282"/>
      <c r="U120" s="1282"/>
      <c r="V120" s="1282"/>
      <c r="W120" s="1552"/>
      <c r="X120" s="1282"/>
      <c r="Y120" s="1282"/>
      <c r="Z120" s="480"/>
      <c r="AA120" s="1282"/>
      <c r="AB120" s="1282"/>
      <c r="AC120" s="1282"/>
      <c r="AD120" s="1282"/>
      <c r="AE120" s="1282"/>
      <c r="AF120" s="1548"/>
      <c r="AG120" s="558"/>
      <c r="AH120" s="558"/>
      <c r="AI120" s="558"/>
      <c r="AJ120" s="558"/>
      <c r="AK120" s="1557">
        <v>11</v>
      </c>
    </row>
    <row r="121" spans="1:37" s="2335" customFormat="1" ht="11.45" customHeight="1">
      <c r="A121" s="910"/>
      <c r="B121" s="910"/>
      <c r="C121" s="910"/>
      <c r="D121" s="910"/>
      <c r="E121" s="910"/>
      <c r="F121" s="1552"/>
      <c r="G121" s="1552"/>
      <c r="H121" s="287"/>
      <c r="N121" s="1282"/>
      <c r="P121" s="1282"/>
      <c r="Q121" s="1552"/>
      <c r="R121" s="1552"/>
      <c r="S121" s="1282"/>
      <c r="T121" s="1282"/>
      <c r="U121" s="1282"/>
      <c r="V121" s="1282"/>
      <c r="W121" s="1552"/>
      <c r="X121" s="1282"/>
      <c r="Y121" s="1282"/>
      <c r="Z121" s="480"/>
      <c r="AA121" s="1282"/>
      <c r="AB121" s="1282"/>
      <c r="AC121" s="1282"/>
      <c r="AD121" s="1282"/>
      <c r="AE121" s="1282"/>
      <c r="AF121" s="1548"/>
      <c r="AG121" s="558"/>
      <c r="AH121" s="558"/>
      <c r="AI121" s="558"/>
      <c r="AJ121" s="558"/>
      <c r="AK121" s="1557">
        <v>11</v>
      </c>
    </row>
    <row r="122" spans="1:37" s="2335" customFormat="1" ht="11.45" customHeight="1">
      <c r="A122" s="910"/>
      <c r="B122" s="910"/>
      <c r="C122" s="910"/>
      <c r="D122" s="910"/>
      <c r="E122" s="910"/>
      <c r="F122" s="1552"/>
      <c r="G122" s="1552"/>
      <c r="H122" s="287"/>
      <c r="N122" s="1282"/>
      <c r="P122" s="1282"/>
      <c r="Q122" s="1552"/>
      <c r="R122" s="1552"/>
      <c r="S122" s="1282"/>
      <c r="T122" s="1282"/>
      <c r="U122" s="1282"/>
      <c r="V122" s="1282"/>
      <c r="W122" s="1552"/>
      <c r="X122" s="1282"/>
      <c r="Y122" s="1282"/>
      <c r="Z122" s="480"/>
      <c r="AA122" s="1282"/>
      <c r="AB122" s="1282"/>
      <c r="AC122" s="1282"/>
      <c r="AD122" s="1282"/>
      <c r="AE122" s="1282"/>
      <c r="AF122" s="1548"/>
      <c r="AG122" s="558"/>
      <c r="AH122" s="558"/>
      <c r="AI122" s="558"/>
      <c r="AJ122" s="558"/>
      <c r="AK122" s="1557">
        <v>11</v>
      </c>
    </row>
    <row r="123" spans="1:37" s="2335" customFormat="1" ht="11.45" customHeight="1">
      <c r="A123" s="910"/>
      <c r="B123" s="910"/>
      <c r="C123" s="910"/>
      <c r="D123" s="910"/>
      <c r="E123" s="910"/>
      <c r="F123" s="1552"/>
      <c r="G123" s="1552"/>
      <c r="H123" s="287"/>
      <c r="N123" s="1282"/>
      <c r="P123" s="1282"/>
      <c r="Q123" s="1552"/>
      <c r="R123" s="1552"/>
      <c r="S123" s="1282"/>
      <c r="T123" s="1282"/>
      <c r="U123" s="1282"/>
      <c r="V123" s="1282"/>
      <c r="W123" s="1552"/>
      <c r="X123" s="1282"/>
      <c r="Y123" s="1282"/>
      <c r="Z123" s="480"/>
      <c r="AA123" s="1282"/>
      <c r="AB123" s="1282"/>
      <c r="AC123" s="1282"/>
      <c r="AD123" s="1282"/>
      <c r="AE123" s="1282"/>
      <c r="AF123" s="1548"/>
      <c r="AG123" s="558"/>
      <c r="AH123" s="558"/>
      <c r="AI123" s="558"/>
      <c r="AJ123" s="558"/>
      <c r="AK123" s="1557">
        <v>11</v>
      </c>
    </row>
    <row r="124" spans="1:37" s="2335" customFormat="1" ht="11.45" customHeight="1">
      <c r="A124" s="910"/>
      <c r="B124" s="910"/>
      <c r="C124" s="910"/>
      <c r="D124" s="910"/>
      <c r="E124" s="910"/>
      <c r="F124" s="1552"/>
      <c r="G124" s="1552"/>
      <c r="H124" s="287"/>
      <c r="N124" s="1282"/>
      <c r="P124" s="1282"/>
      <c r="Q124" s="1552"/>
      <c r="R124" s="1552"/>
      <c r="S124" s="1282"/>
      <c r="T124" s="1282"/>
      <c r="U124" s="1282"/>
      <c r="V124" s="1282"/>
      <c r="W124" s="1552"/>
      <c r="X124" s="1282"/>
      <c r="Y124" s="1282"/>
      <c r="Z124" s="480"/>
      <c r="AA124" s="1282"/>
      <c r="AB124" s="1282"/>
      <c r="AC124" s="1282"/>
      <c r="AD124" s="1282"/>
      <c r="AE124" s="1282"/>
      <c r="AF124" s="1548"/>
      <c r="AG124" s="558"/>
      <c r="AH124" s="558"/>
      <c r="AI124" s="558"/>
      <c r="AJ124" s="558"/>
      <c r="AK124" s="1557">
        <v>11</v>
      </c>
    </row>
    <row r="125" spans="1:37" s="2335" customFormat="1" ht="11.45" customHeight="1">
      <c r="A125" s="910"/>
      <c r="B125" s="910"/>
      <c r="C125" s="910"/>
      <c r="D125" s="910"/>
      <c r="E125" s="910"/>
      <c r="F125" s="1552"/>
      <c r="G125" s="1552"/>
      <c r="H125" s="287"/>
      <c r="N125" s="1282"/>
      <c r="P125" s="1282"/>
      <c r="Q125" s="1552"/>
      <c r="R125" s="1552"/>
      <c r="S125" s="1282"/>
      <c r="T125" s="1282"/>
      <c r="U125" s="1282"/>
      <c r="V125" s="1282"/>
      <c r="W125" s="1552"/>
      <c r="X125" s="1282"/>
      <c r="Y125" s="1282"/>
      <c r="Z125" s="480"/>
      <c r="AA125" s="1282"/>
      <c r="AB125" s="1282"/>
      <c r="AC125" s="1282"/>
      <c r="AD125" s="1282"/>
      <c r="AE125" s="1282"/>
      <c r="AF125" s="1548"/>
      <c r="AG125" s="558"/>
      <c r="AH125" s="558"/>
      <c r="AI125" s="558"/>
      <c r="AJ125" s="558"/>
      <c r="AK125" s="1557">
        <v>11</v>
      </c>
    </row>
    <row r="126" spans="1:37" s="2335" customFormat="1" ht="11.45" customHeight="1">
      <c r="A126" s="910"/>
      <c r="B126" s="910"/>
      <c r="C126" s="910"/>
      <c r="D126" s="910"/>
      <c r="E126" s="910"/>
      <c r="F126" s="1552"/>
      <c r="G126" s="1552"/>
      <c r="H126" s="287"/>
      <c r="N126" s="1282"/>
      <c r="P126" s="1282"/>
      <c r="Q126" s="1552"/>
      <c r="R126" s="1552"/>
      <c r="S126" s="1282"/>
      <c r="T126" s="1282"/>
      <c r="U126" s="1282"/>
      <c r="V126" s="1282"/>
      <c r="W126" s="1552"/>
      <c r="X126" s="1282"/>
      <c r="Y126" s="1282"/>
      <c r="Z126" s="480"/>
      <c r="AA126" s="1282"/>
      <c r="AB126" s="1282"/>
      <c r="AC126" s="1282"/>
      <c r="AD126" s="1282"/>
      <c r="AE126" s="1282"/>
      <c r="AF126" s="1548"/>
      <c r="AG126" s="558"/>
      <c r="AH126" s="558"/>
      <c r="AI126" s="558"/>
      <c r="AJ126" s="558"/>
      <c r="AK126" s="1557">
        <v>11</v>
      </c>
    </row>
    <row r="127" spans="1:37" s="2335" customFormat="1" ht="11.45" customHeight="1">
      <c r="A127" s="910"/>
      <c r="B127" s="910"/>
      <c r="C127" s="910"/>
      <c r="D127" s="910"/>
      <c r="E127" s="910"/>
      <c r="F127" s="1552"/>
      <c r="G127" s="1552"/>
      <c r="H127" s="287"/>
      <c r="N127" s="1282"/>
      <c r="P127" s="1282"/>
      <c r="Q127" s="1552"/>
      <c r="R127" s="1552"/>
      <c r="S127" s="1282"/>
      <c r="T127" s="1282"/>
      <c r="U127" s="1282"/>
      <c r="V127" s="1282"/>
      <c r="W127" s="1552"/>
      <c r="X127" s="1282"/>
      <c r="Y127" s="1282"/>
      <c r="Z127" s="480"/>
      <c r="AA127" s="1282"/>
      <c r="AB127" s="1282"/>
      <c r="AC127" s="1282"/>
      <c r="AD127" s="1282"/>
      <c r="AE127" s="1282"/>
      <c r="AF127" s="1548"/>
      <c r="AG127" s="558"/>
      <c r="AH127" s="558"/>
      <c r="AI127" s="558"/>
      <c r="AJ127" s="558"/>
      <c r="AK127" s="1557">
        <v>11</v>
      </c>
    </row>
    <row r="128" spans="1:37" s="2335" customFormat="1" ht="11.45" customHeight="1">
      <c r="A128" s="910"/>
      <c r="B128" s="910"/>
      <c r="C128" s="910"/>
      <c r="D128" s="910"/>
      <c r="E128" s="910"/>
      <c r="F128" s="1552"/>
      <c r="G128" s="1552"/>
      <c r="H128" s="287"/>
      <c r="N128" s="1282"/>
      <c r="P128" s="1282"/>
      <c r="Q128" s="1552"/>
      <c r="R128" s="1552"/>
      <c r="S128" s="1282"/>
      <c r="T128" s="1282"/>
      <c r="U128" s="1282"/>
      <c r="V128" s="1282"/>
      <c r="W128" s="1552"/>
      <c r="X128" s="1282"/>
      <c r="Y128" s="1282"/>
      <c r="Z128" s="480"/>
      <c r="AA128" s="1282"/>
      <c r="AB128" s="1282"/>
      <c r="AC128" s="1282"/>
      <c r="AD128" s="1282"/>
      <c r="AE128" s="1282"/>
      <c r="AF128" s="1548"/>
      <c r="AG128" s="558"/>
      <c r="AH128" s="558"/>
      <c r="AI128" s="558"/>
      <c r="AJ128" s="558"/>
      <c r="AK128" s="1557">
        <v>11</v>
      </c>
    </row>
    <row r="129" spans="1:37" s="2335" customFormat="1" ht="11.45" customHeight="1">
      <c r="A129" s="910"/>
      <c r="B129" s="910"/>
      <c r="C129" s="910"/>
      <c r="D129" s="910"/>
      <c r="E129" s="910"/>
      <c r="F129" s="1552"/>
      <c r="G129" s="1552"/>
      <c r="H129" s="287"/>
      <c r="N129" s="1282"/>
      <c r="P129" s="1282"/>
      <c r="Q129" s="1552"/>
      <c r="R129" s="1552"/>
      <c r="S129" s="1282"/>
      <c r="T129" s="1282"/>
      <c r="U129" s="1282"/>
      <c r="V129" s="1282"/>
      <c r="W129" s="1552"/>
      <c r="X129" s="1282"/>
      <c r="Y129" s="1282"/>
      <c r="Z129" s="480"/>
      <c r="AA129" s="1282"/>
      <c r="AB129" s="1282"/>
      <c r="AC129" s="1282"/>
      <c r="AD129" s="1282"/>
      <c r="AE129" s="1282"/>
      <c r="AF129" s="1548"/>
      <c r="AG129" s="558"/>
      <c r="AH129" s="558"/>
      <c r="AI129" s="558"/>
      <c r="AJ129" s="558"/>
      <c r="AK129" s="1557">
        <v>11</v>
      </c>
    </row>
    <row r="130" spans="1:37" s="2335" customFormat="1" ht="11.45" customHeight="1">
      <c r="A130" s="910"/>
      <c r="B130" s="910"/>
      <c r="C130" s="910"/>
      <c r="D130" s="910"/>
      <c r="E130" s="910"/>
      <c r="F130" s="1552"/>
      <c r="G130" s="1552"/>
      <c r="H130" s="287"/>
      <c r="N130" s="1282"/>
      <c r="P130" s="1282"/>
      <c r="Q130" s="1552"/>
      <c r="R130" s="1552"/>
      <c r="S130" s="1282"/>
      <c r="T130" s="1282"/>
      <c r="U130" s="1282"/>
      <c r="V130" s="1282"/>
      <c r="W130" s="1552"/>
      <c r="X130" s="1282"/>
      <c r="Y130" s="1282"/>
      <c r="Z130" s="480"/>
      <c r="AA130" s="1282"/>
      <c r="AB130" s="1282"/>
      <c r="AC130" s="1282"/>
      <c r="AD130" s="1282"/>
      <c r="AE130" s="1282"/>
      <c r="AF130" s="1548"/>
      <c r="AG130" s="558"/>
      <c r="AH130" s="558"/>
      <c r="AI130" s="558"/>
      <c r="AJ130" s="558"/>
      <c r="AK130" s="1557">
        <v>11</v>
      </c>
    </row>
    <row r="131" spans="1:37" s="2335" customFormat="1" ht="11.45" customHeight="1">
      <c r="A131" s="910"/>
      <c r="B131" s="910"/>
      <c r="C131" s="910"/>
      <c r="D131" s="910"/>
      <c r="E131" s="910"/>
      <c r="F131" s="1552"/>
      <c r="G131" s="1552"/>
      <c r="H131" s="287"/>
      <c r="N131" s="1282"/>
      <c r="P131" s="1282"/>
      <c r="Q131" s="1552"/>
      <c r="R131" s="1552"/>
      <c r="S131" s="1282"/>
      <c r="T131" s="1282"/>
      <c r="U131" s="1282"/>
      <c r="V131" s="1282"/>
      <c r="W131" s="1552"/>
      <c r="X131" s="1282"/>
      <c r="Y131" s="1282"/>
      <c r="Z131" s="480"/>
      <c r="AA131" s="1282"/>
      <c r="AB131" s="1282"/>
      <c r="AC131" s="1282"/>
      <c r="AD131" s="1282"/>
      <c r="AE131" s="1282"/>
      <c r="AF131" s="1548"/>
      <c r="AG131" s="558"/>
      <c r="AH131" s="558"/>
      <c r="AI131" s="558"/>
      <c r="AJ131" s="558"/>
      <c r="AK131" s="1557">
        <v>11</v>
      </c>
    </row>
    <row r="132" spans="1:37" s="2335" customFormat="1" ht="11.45" customHeight="1">
      <c r="A132" s="910"/>
      <c r="B132" s="910"/>
      <c r="C132" s="910"/>
      <c r="D132" s="910"/>
      <c r="E132" s="910"/>
      <c r="F132" s="1552"/>
      <c r="G132" s="1552"/>
      <c r="H132" s="287"/>
      <c r="N132" s="1282"/>
      <c r="P132" s="1282"/>
      <c r="Q132" s="1552"/>
      <c r="R132" s="1552"/>
      <c r="S132" s="1282"/>
      <c r="T132" s="1282"/>
      <c r="U132" s="1282"/>
      <c r="V132" s="1282"/>
      <c r="W132" s="1552"/>
      <c r="X132" s="1282"/>
      <c r="Y132" s="1282"/>
      <c r="Z132" s="480"/>
      <c r="AA132" s="1282"/>
      <c r="AB132" s="1282"/>
      <c r="AC132" s="1282"/>
      <c r="AD132" s="1282"/>
      <c r="AE132" s="1282"/>
      <c r="AF132" s="1548"/>
      <c r="AG132" s="558"/>
      <c r="AH132" s="558"/>
      <c r="AI132" s="558"/>
      <c r="AJ132" s="558"/>
      <c r="AK132" s="1557">
        <v>11</v>
      </c>
    </row>
    <row r="133" spans="1:37" s="2335" customFormat="1" ht="11.45" customHeight="1">
      <c r="A133" s="910"/>
      <c r="B133" s="910"/>
      <c r="C133" s="910"/>
      <c r="D133" s="910"/>
      <c r="E133" s="910"/>
      <c r="F133" s="1552"/>
      <c r="G133" s="1552"/>
      <c r="H133" s="287"/>
      <c r="N133" s="1282"/>
      <c r="P133" s="1282"/>
      <c r="Q133" s="1552"/>
      <c r="R133" s="1552"/>
      <c r="S133" s="1282"/>
      <c r="T133" s="1282"/>
      <c r="U133" s="1282"/>
      <c r="V133" s="1282"/>
      <c r="W133" s="1552"/>
      <c r="X133" s="1282"/>
      <c r="Y133" s="1282"/>
      <c r="Z133" s="480"/>
      <c r="AA133" s="1282"/>
      <c r="AB133" s="1282"/>
      <c r="AC133" s="1282"/>
      <c r="AD133" s="1282"/>
      <c r="AE133" s="1282"/>
      <c r="AF133" s="1548"/>
      <c r="AG133" s="558"/>
      <c r="AH133" s="558"/>
      <c r="AI133" s="558"/>
      <c r="AJ133" s="558"/>
      <c r="AK133" s="1557">
        <v>11</v>
      </c>
    </row>
    <row r="134" spans="1:37" s="2335" customFormat="1" ht="11.45" customHeight="1">
      <c r="A134" s="910"/>
      <c r="B134" s="910"/>
      <c r="C134" s="910"/>
      <c r="D134" s="910"/>
      <c r="E134" s="910"/>
      <c r="F134" s="1552"/>
      <c r="G134" s="1552"/>
      <c r="H134" s="287"/>
      <c r="N134" s="1282"/>
      <c r="P134" s="1282"/>
      <c r="Q134" s="1552"/>
      <c r="R134" s="1552"/>
      <c r="S134" s="1282"/>
      <c r="T134" s="1282"/>
      <c r="U134" s="1282"/>
      <c r="V134" s="1282"/>
      <c r="W134" s="1552"/>
      <c r="X134" s="1282"/>
      <c r="Y134" s="1282"/>
      <c r="Z134" s="480"/>
      <c r="AA134" s="1282"/>
      <c r="AB134" s="1282"/>
      <c r="AC134" s="1282"/>
      <c r="AD134" s="1282"/>
      <c r="AE134" s="1282"/>
      <c r="AF134" s="1548"/>
      <c r="AG134" s="558"/>
      <c r="AH134" s="558"/>
      <c r="AI134" s="558"/>
      <c r="AJ134" s="558"/>
      <c r="AK134" s="1557">
        <v>11</v>
      </c>
    </row>
    <row r="135" spans="1:37" s="2335" customFormat="1" ht="11.45" customHeight="1">
      <c r="A135" s="910"/>
      <c r="B135" s="910"/>
      <c r="C135" s="910"/>
      <c r="D135" s="910"/>
      <c r="E135" s="910"/>
      <c r="F135" s="1552"/>
      <c r="G135" s="1552"/>
      <c r="H135" s="287"/>
      <c r="N135" s="1282"/>
      <c r="P135" s="1282"/>
      <c r="Q135" s="1552"/>
      <c r="R135" s="1552"/>
      <c r="S135" s="1282"/>
      <c r="T135" s="1282"/>
      <c r="U135" s="1282"/>
      <c r="V135" s="1282"/>
      <c r="W135" s="1552"/>
      <c r="X135" s="1282"/>
      <c r="Y135" s="1282"/>
      <c r="Z135" s="480"/>
      <c r="AA135" s="1282"/>
      <c r="AB135" s="1282"/>
      <c r="AC135" s="1282"/>
      <c r="AD135" s="1282"/>
      <c r="AE135" s="1282"/>
      <c r="AF135" s="1548"/>
      <c r="AG135" s="558"/>
      <c r="AH135" s="558"/>
      <c r="AI135" s="558"/>
      <c r="AJ135" s="558"/>
      <c r="AK135" s="1557">
        <v>11</v>
      </c>
    </row>
    <row r="136" spans="1:37" s="2335" customFormat="1" ht="11.45" customHeight="1">
      <c r="A136" s="910"/>
      <c r="B136" s="910"/>
      <c r="C136" s="910"/>
      <c r="D136" s="910"/>
      <c r="E136" s="910"/>
      <c r="F136" s="1552"/>
      <c r="G136" s="1552"/>
      <c r="H136" s="287"/>
      <c r="N136" s="1282"/>
      <c r="P136" s="1282"/>
      <c r="Q136" s="1552"/>
      <c r="R136" s="1552"/>
      <c r="S136" s="1282"/>
      <c r="T136" s="1282"/>
      <c r="U136" s="1282"/>
      <c r="V136" s="1282"/>
      <c r="W136" s="1552"/>
      <c r="X136" s="1282"/>
      <c r="Y136" s="1282"/>
      <c r="Z136" s="480"/>
      <c r="AA136" s="1282"/>
      <c r="AB136" s="1282"/>
      <c r="AC136" s="1282"/>
      <c r="AD136" s="1282"/>
      <c r="AE136" s="1282"/>
      <c r="AF136" s="1548"/>
      <c r="AG136" s="558"/>
      <c r="AH136" s="558"/>
      <c r="AI136" s="558"/>
      <c r="AJ136" s="558"/>
      <c r="AK136" s="1557">
        <v>11</v>
      </c>
    </row>
    <row r="137" spans="1:37" s="2335" customFormat="1" ht="11.45" customHeight="1">
      <c r="A137" s="910"/>
      <c r="B137" s="910"/>
      <c r="C137" s="910"/>
      <c r="D137" s="910"/>
      <c r="E137" s="910"/>
      <c r="F137" s="1552"/>
      <c r="G137" s="1552"/>
      <c r="H137" s="287"/>
      <c r="N137" s="1282"/>
      <c r="P137" s="1282"/>
      <c r="Q137" s="1552"/>
      <c r="R137" s="1552"/>
      <c r="S137" s="1282"/>
      <c r="T137" s="1282"/>
      <c r="U137" s="1282"/>
      <c r="V137" s="1282"/>
      <c r="W137" s="1552"/>
      <c r="X137" s="1282"/>
      <c r="Y137" s="1282"/>
      <c r="Z137" s="480"/>
      <c r="AA137" s="1282"/>
      <c r="AB137" s="1282"/>
      <c r="AC137" s="1282"/>
      <c r="AD137" s="1282"/>
      <c r="AE137" s="1282"/>
      <c r="AF137" s="1548"/>
      <c r="AG137" s="558"/>
      <c r="AH137" s="558"/>
      <c r="AI137" s="558"/>
      <c r="AJ137" s="558"/>
      <c r="AK137" s="1557">
        <v>11</v>
      </c>
    </row>
    <row r="138" spans="1:37" s="2335" customFormat="1" ht="11.45" customHeight="1">
      <c r="A138" s="910"/>
      <c r="B138" s="910"/>
      <c r="C138" s="910"/>
      <c r="D138" s="910"/>
      <c r="E138" s="910"/>
      <c r="F138" s="1552"/>
      <c r="G138" s="1552"/>
      <c r="H138" s="287"/>
      <c r="N138" s="1282"/>
      <c r="P138" s="1282"/>
      <c r="Q138" s="1552"/>
      <c r="R138" s="1552"/>
      <c r="S138" s="1282"/>
      <c r="T138" s="1282"/>
      <c r="U138" s="1282"/>
      <c r="V138" s="1282"/>
      <c r="W138" s="1552"/>
      <c r="X138" s="1282"/>
      <c r="Y138" s="1282"/>
      <c r="Z138" s="480"/>
      <c r="AA138" s="1282"/>
      <c r="AB138" s="1282"/>
      <c r="AC138" s="1282"/>
      <c r="AD138" s="1282"/>
      <c r="AE138" s="1282"/>
      <c r="AF138" s="1548"/>
      <c r="AG138" s="558"/>
      <c r="AH138" s="558"/>
      <c r="AI138" s="558"/>
      <c r="AJ138" s="558"/>
      <c r="AK138" s="1557">
        <v>11</v>
      </c>
    </row>
    <row r="139" spans="1:37" s="2335" customFormat="1" ht="11.45" customHeight="1">
      <c r="A139" s="910"/>
      <c r="B139" s="910"/>
      <c r="C139" s="910"/>
      <c r="D139" s="910"/>
      <c r="E139" s="910"/>
      <c r="F139" s="1552"/>
      <c r="G139" s="1552"/>
      <c r="H139" s="287"/>
      <c r="N139" s="1282"/>
      <c r="P139" s="1282"/>
      <c r="Q139" s="1552"/>
      <c r="R139" s="1552"/>
      <c r="S139" s="1282"/>
      <c r="T139" s="1282"/>
      <c r="U139" s="1282"/>
      <c r="V139" s="1282"/>
      <c r="W139" s="1552"/>
      <c r="X139" s="1282"/>
      <c r="Y139" s="1282"/>
      <c r="Z139" s="480"/>
      <c r="AA139" s="1282"/>
      <c r="AB139" s="1282"/>
      <c r="AC139" s="1282"/>
      <c r="AD139" s="1282"/>
      <c r="AE139" s="1282"/>
      <c r="AF139" s="1548"/>
      <c r="AG139" s="558"/>
      <c r="AH139" s="558"/>
      <c r="AI139" s="558"/>
      <c r="AJ139" s="558"/>
      <c r="AK139" s="1557">
        <v>11</v>
      </c>
    </row>
    <row r="140" spans="1:37" s="2335" customFormat="1" ht="11.45" customHeight="1">
      <c r="A140" s="910"/>
      <c r="B140" s="910"/>
      <c r="C140" s="910"/>
      <c r="D140" s="910"/>
      <c r="E140" s="910"/>
      <c r="F140" s="1552"/>
      <c r="G140" s="1552"/>
      <c r="H140" s="287"/>
      <c r="N140" s="1282"/>
      <c r="P140" s="1282"/>
      <c r="Q140" s="1552"/>
      <c r="R140" s="1552"/>
      <c r="S140" s="1282"/>
      <c r="T140" s="1282"/>
      <c r="U140" s="1282"/>
      <c r="V140" s="1282"/>
      <c r="W140" s="1552"/>
      <c r="X140" s="1282"/>
      <c r="Y140" s="1282"/>
      <c r="Z140" s="480"/>
      <c r="AA140" s="1282"/>
      <c r="AB140" s="1282"/>
      <c r="AC140" s="1282"/>
      <c r="AD140" s="1282"/>
      <c r="AE140" s="1282"/>
      <c r="AF140" s="1548"/>
      <c r="AG140" s="558"/>
      <c r="AH140" s="558"/>
      <c r="AI140" s="558"/>
      <c r="AJ140" s="558"/>
      <c r="AK140" s="1557">
        <v>11</v>
      </c>
    </row>
    <row r="141" spans="1:37" s="2335" customFormat="1" ht="11.45" customHeight="1">
      <c r="A141" s="910"/>
      <c r="B141" s="910"/>
      <c r="C141" s="910"/>
      <c r="D141" s="910"/>
      <c r="E141" s="910"/>
      <c r="F141" s="1552"/>
      <c r="G141" s="1552"/>
      <c r="H141" s="287"/>
      <c r="N141" s="1282"/>
      <c r="P141" s="1282"/>
      <c r="Q141" s="1552"/>
      <c r="R141" s="1552"/>
      <c r="S141" s="1282"/>
      <c r="T141" s="1282"/>
      <c r="U141" s="1282"/>
      <c r="V141" s="1282"/>
      <c r="W141" s="1552"/>
      <c r="X141" s="1282"/>
      <c r="Y141" s="1282"/>
      <c r="Z141" s="480"/>
      <c r="AA141" s="1282"/>
      <c r="AB141" s="1282"/>
      <c r="AC141" s="1282"/>
      <c r="AD141" s="1282"/>
      <c r="AE141" s="1282"/>
      <c r="AF141" s="1548"/>
      <c r="AG141" s="558"/>
      <c r="AH141" s="558"/>
      <c r="AI141" s="558"/>
      <c r="AJ141" s="558"/>
      <c r="AK141" s="1557">
        <v>11</v>
      </c>
    </row>
    <row r="142" spans="1:37" s="2335" customFormat="1" ht="11.45" customHeight="1">
      <c r="A142" s="910"/>
      <c r="B142" s="910"/>
      <c r="C142" s="910"/>
      <c r="D142" s="910"/>
      <c r="E142" s="910"/>
      <c r="F142" s="1552"/>
      <c r="G142" s="1552"/>
      <c r="H142" s="287"/>
      <c r="N142" s="1282"/>
      <c r="P142" s="1282"/>
      <c r="Q142" s="1552"/>
      <c r="R142" s="1552"/>
      <c r="S142" s="1282"/>
      <c r="T142" s="1282"/>
      <c r="U142" s="1282"/>
      <c r="V142" s="1282"/>
      <c r="W142" s="1552"/>
      <c r="X142" s="1282"/>
      <c r="Y142" s="1282"/>
      <c r="Z142" s="480"/>
      <c r="AA142" s="1282"/>
      <c r="AB142" s="1282"/>
      <c r="AC142" s="1282"/>
      <c r="AD142" s="1282"/>
      <c r="AE142" s="1282"/>
      <c r="AF142" s="1548"/>
      <c r="AG142" s="558"/>
      <c r="AH142" s="558"/>
      <c r="AI142" s="558"/>
      <c r="AJ142" s="558"/>
      <c r="AK142" s="1557">
        <v>11</v>
      </c>
    </row>
    <row r="143" spans="1:37" s="2335" customFormat="1" ht="11.45" customHeight="1">
      <c r="A143" s="910"/>
      <c r="B143" s="910"/>
      <c r="C143" s="910"/>
      <c r="D143" s="910"/>
      <c r="E143" s="910"/>
      <c r="F143" s="1552"/>
      <c r="G143" s="1552"/>
      <c r="H143" s="287"/>
      <c r="N143" s="1282"/>
      <c r="P143" s="1282"/>
      <c r="Q143" s="1552"/>
      <c r="R143" s="1552"/>
      <c r="S143" s="1282"/>
      <c r="T143" s="1282"/>
      <c r="U143" s="1282"/>
      <c r="V143" s="1282"/>
      <c r="W143" s="1552"/>
      <c r="X143" s="1282"/>
      <c r="Y143" s="1282"/>
      <c r="Z143" s="480"/>
      <c r="AA143" s="1282"/>
      <c r="AB143" s="1282"/>
      <c r="AC143" s="1282"/>
      <c r="AD143" s="1282"/>
      <c r="AE143" s="1282"/>
      <c r="AF143" s="1548"/>
      <c r="AG143" s="558"/>
      <c r="AH143" s="558"/>
      <c r="AI143" s="558"/>
      <c r="AJ143" s="558"/>
      <c r="AK143" s="1557">
        <v>11</v>
      </c>
    </row>
    <row r="144" spans="1:37" s="2335" customFormat="1" ht="11.45" customHeight="1">
      <c r="A144" s="910"/>
      <c r="B144" s="910"/>
      <c r="C144" s="910"/>
      <c r="D144" s="910"/>
      <c r="E144" s="910"/>
      <c r="F144" s="1552"/>
      <c r="G144" s="1552"/>
      <c r="H144" s="287"/>
      <c r="N144" s="1282"/>
      <c r="P144" s="1282"/>
      <c r="Q144" s="1552"/>
      <c r="R144" s="1552"/>
      <c r="S144" s="1282"/>
      <c r="T144" s="1282"/>
      <c r="U144" s="1282"/>
      <c r="V144" s="1282"/>
      <c r="W144" s="1552"/>
      <c r="X144" s="1282"/>
      <c r="Y144" s="1282"/>
      <c r="Z144" s="480"/>
      <c r="AA144" s="1282"/>
      <c r="AB144" s="1282"/>
      <c r="AC144" s="1282"/>
      <c r="AD144" s="1282"/>
      <c r="AE144" s="1282"/>
      <c r="AF144" s="1548"/>
      <c r="AG144" s="558"/>
      <c r="AH144" s="558"/>
      <c r="AI144" s="558"/>
      <c r="AJ144" s="558"/>
      <c r="AK144" s="1557">
        <v>11</v>
      </c>
    </row>
    <row r="145" spans="1:37" s="2335" customFormat="1" ht="11.45" customHeight="1">
      <c r="A145" s="910"/>
      <c r="B145" s="910"/>
      <c r="C145" s="910"/>
      <c r="D145" s="910"/>
      <c r="E145" s="910"/>
      <c r="F145" s="1552"/>
      <c r="G145" s="1552"/>
      <c r="H145" s="287"/>
      <c r="N145" s="1282"/>
      <c r="P145" s="1282"/>
      <c r="Q145" s="1552"/>
      <c r="R145" s="1552"/>
      <c r="S145" s="1282"/>
      <c r="T145" s="1282"/>
      <c r="U145" s="1282"/>
      <c r="V145" s="1282"/>
      <c r="W145" s="1552"/>
      <c r="X145" s="1282"/>
      <c r="Y145" s="1282"/>
      <c r="Z145" s="480"/>
      <c r="AA145" s="1282"/>
      <c r="AB145" s="1282"/>
      <c r="AC145" s="1282"/>
      <c r="AD145" s="1282"/>
      <c r="AE145" s="1282"/>
      <c r="AF145" s="1548"/>
      <c r="AG145" s="558"/>
      <c r="AH145" s="558"/>
      <c r="AI145" s="558"/>
      <c r="AJ145" s="558"/>
      <c r="AK145" s="1557">
        <v>11</v>
      </c>
    </row>
    <row r="146" spans="1:37" s="2335" customFormat="1" ht="11.45" customHeight="1">
      <c r="A146" s="910"/>
      <c r="B146" s="910"/>
      <c r="C146" s="910"/>
      <c r="D146" s="910"/>
      <c r="E146" s="910"/>
      <c r="F146" s="1552"/>
      <c r="G146" s="1552"/>
      <c r="H146" s="287"/>
      <c r="N146" s="1282"/>
      <c r="P146" s="1282"/>
      <c r="Q146" s="1552"/>
      <c r="R146" s="1552"/>
      <c r="S146" s="1282"/>
      <c r="T146" s="1282"/>
      <c r="U146" s="1282"/>
      <c r="V146" s="1282"/>
      <c r="W146" s="1552"/>
      <c r="X146" s="1282"/>
      <c r="Y146" s="1282"/>
      <c r="Z146" s="480"/>
      <c r="AA146" s="1282"/>
      <c r="AB146" s="1282"/>
      <c r="AC146" s="1282"/>
      <c r="AD146" s="1282"/>
      <c r="AE146" s="1282"/>
      <c r="AF146" s="1548"/>
      <c r="AG146" s="558"/>
      <c r="AH146" s="558"/>
      <c r="AI146" s="558"/>
      <c r="AJ146" s="558"/>
      <c r="AK146" s="1557">
        <v>11</v>
      </c>
    </row>
    <row r="147" spans="1:37" s="2335" customFormat="1" ht="11.45" customHeight="1">
      <c r="A147" s="910"/>
      <c r="B147" s="910"/>
      <c r="C147" s="910"/>
      <c r="D147" s="910"/>
      <c r="E147" s="910"/>
      <c r="F147" s="1552"/>
      <c r="G147" s="1552"/>
      <c r="H147" s="287"/>
      <c r="N147" s="1282"/>
      <c r="P147" s="1282"/>
      <c r="Q147" s="1552"/>
      <c r="R147" s="1552"/>
      <c r="S147" s="1282"/>
      <c r="T147" s="1282"/>
      <c r="U147" s="1282"/>
      <c r="V147" s="1282"/>
      <c r="W147" s="1552"/>
      <c r="X147" s="1282"/>
      <c r="Y147" s="1282"/>
      <c r="Z147" s="480"/>
      <c r="AA147" s="1282"/>
      <c r="AB147" s="1282"/>
      <c r="AC147" s="1282"/>
      <c r="AD147" s="1282"/>
      <c r="AE147" s="1282"/>
      <c r="AF147" s="1548"/>
      <c r="AG147" s="558"/>
      <c r="AH147" s="558"/>
      <c r="AI147" s="558"/>
      <c r="AJ147" s="558"/>
      <c r="AK147" s="1557">
        <v>11</v>
      </c>
    </row>
    <row r="148" spans="1:37" s="2335" customFormat="1" ht="11.45" customHeight="1">
      <c r="A148" s="910"/>
      <c r="B148" s="910"/>
      <c r="C148" s="910"/>
      <c r="D148" s="910"/>
      <c r="E148" s="910"/>
      <c r="F148" s="1552"/>
      <c r="G148" s="1552"/>
      <c r="H148" s="287"/>
      <c r="N148" s="1282"/>
      <c r="P148" s="1282"/>
      <c r="Q148" s="1552"/>
      <c r="R148" s="1552"/>
      <c r="S148" s="1282"/>
      <c r="T148" s="1282"/>
      <c r="U148" s="1282"/>
      <c r="V148" s="1282"/>
      <c r="W148" s="1552"/>
      <c r="X148" s="1282"/>
      <c r="Y148" s="1282"/>
      <c r="Z148" s="480"/>
      <c r="AA148" s="1282"/>
      <c r="AB148" s="1282"/>
      <c r="AC148" s="1282"/>
      <c r="AD148" s="1282"/>
      <c r="AE148" s="1282"/>
      <c r="AF148" s="1548"/>
      <c r="AG148" s="558"/>
      <c r="AH148" s="558"/>
      <c r="AI148" s="558"/>
      <c r="AJ148" s="558"/>
      <c r="AK148" s="1557">
        <v>11</v>
      </c>
    </row>
    <row r="149" spans="1:37" s="2335" customFormat="1" ht="11.45" customHeight="1">
      <c r="A149" s="910"/>
      <c r="B149" s="910"/>
      <c r="C149" s="910"/>
      <c r="D149" s="910"/>
      <c r="E149" s="910"/>
      <c r="F149" s="1552"/>
      <c r="G149" s="1552"/>
      <c r="H149" s="287"/>
      <c r="N149" s="1282"/>
      <c r="P149" s="1282"/>
      <c r="Q149" s="1552"/>
      <c r="R149" s="1552"/>
      <c r="S149" s="1282"/>
      <c r="T149" s="1282"/>
      <c r="U149" s="1282"/>
      <c r="V149" s="1282"/>
      <c r="W149" s="1552"/>
      <c r="X149" s="1282"/>
      <c r="Y149" s="1282"/>
      <c r="Z149" s="480"/>
      <c r="AA149" s="1282"/>
      <c r="AB149" s="1282"/>
      <c r="AC149" s="1282"/>
      <c r="AD149" s="1282"/>
      <c r="AE149" s="1282"/>
      <c r="AF149" s="1548"/>
      <c r="AG149" s="558"/>
      <c r="AH149" s="558"/>
      <c r="AI149" s="558"/>
      <c r="AJ149" s="558"/>
      <c r="AK149" s="1557">
        <v>11</v>
      </c>
    </row>
    <row r="150" spans="1:37" s="2335" customFormat="1" ht="11.45" customHeight="1">
      <c r="A150" s="910"/>
      <c r="B150" s="910"/>
      <c r="C150" s="910"/>
      <c r="D150" s="910"/>
      <c r="E150" s="910"/>
      <c r="F150" s="1552"/>
      <c r="G150" s="1552"/>
      <c r="H150" s="287"/>
      <c r="N150" s="1282"/>
      <c r="P150" s="1282"/>
      <c r="Q150" s="1552"/>
      <c r="R150" s="1552"/>
      <c r="S150" s="1282"/>
      <c r="T150" s="1282"/>
      <c r="U150" s="1282"/>
      <c r="V150" s="1282"/>
      <c r="W150" s="1552"/>
      <c r="X150" s="1282"/>
      <c r="Y150" s="1282"/>
      <c r="Z150" s="480"/>
      <c r="AA150" s="1282"/>
      <c r="AB150" s="1282"/>
      <c r="AC150" s="1282"/>
      <c r="AD150" s="1282"/>
      <c r="AE150" s="1282"/>
      <c r="AF150" s="1548"/>
      <c r="AG150" s="558"/>
      <c r="AH150" s="558"/>
      <c r="AI150" s="558"/>
      <c r="AJ150" s="558"/>
      <c r="AK150" s="1557">
        <v>11</v>
      </c>
    </row>
    <row r="151" spans="1:37" s="2335" customFormat="1" ht="11.45" customHeight="1">
      <c r="A151" s="910"/>
      <c r="B151" s="910"/>
      <c r="C151" s="910"/>
      <c r="D151" s="910"/>
      <c r="E151" s="910"/>
      <c r="F151" s="1552"/>
      <c r="G151" s="1552"/>
      <c r="H151" s="287"/>
      <c r="N151" s="1282"/>
      <c r="P151" s="1282"/>
      <c r="Q151" s="1552"/>
      <c r="R151" s="1552"/>
      <c r="S151" s="1282"/>
      <c r="T151" s="1282"/>
      <c r="U151" s="1282"/>
      <c r="V151" s="1282"/>
      <c r="W151" s="1552"/>
      <c r="X151" s="1282"/>
      <c r="Y151" s="1282"/>
      <c r="Z151" s="480"/>
      <c r="AA151" s="1282"/>
      <c r="AB151" s="1282"/>
      <c r="AC151" s="1282"/>
      <c r="AD151" s="1282"/>
      <c r="AE151" s="1282"/>
      <c r="AF151" s="1548"/>
      <c r="AG151" s="558"/>
      <c r="AH151" s="558"/>
      <c r="AI151" s="558"/>
      <c r="AJ151" s="558"/>
      <c r="AK151" s="1557">
        <v>11</v>
      </c>
    </row>
    <row r="152" spans="1:37" s="2335" customFormat="1" ht="11.45" customHeight="1">
      <c r="A152" s="910"/>
      <c r="B152" s="910"/>
      <c r="C152" s="910"/>
      <c r="D152" s="910"/>
      <c r="E152" s="910"/>
      <c r="F152" s="1552"/>
      <c r="G152" s="1552"/>
      <c r="H152" s="287"/>
      <c r="N152" s="1282"/>
      <c r="P152" s="1282"/>
      <c r="Q152" s="1552"/>
      <c r="R152" s="1552"/>
      <c r="S152" s="1282"/>
      <c r="T152" s="1282"/>
      <c r="U152" s="1282"/>
      <c r="V152" s="1282"/>
      <c r="W152" s="1552"/>
      <c r="X152" s="1282"/>
      <c r="Y152" s="1282"/>
      <c r="Z152" s="480"/>
      <c r="AA152" s="1282"/>
      <c r="AB152" s="1282"/>
      <c r="AC152" s="1282"/>
      <c r="AD152" s="1282"/>
      <c r="AE152" s="1282"/>
      <c r="AF152" s="1548"/>
      <c r="AG152" s="558"/>
      <c r="AH152" s="558"/>
      <c r="AI152" s="558"/>
      <c r="AJ152" s="558"/>
      <c r="AK152" s="1557">
        <v>11</v>
      </c>
    </row>
    <row r="153" spans="1:37" s="2335" customFormat="1" ht="11.45" customHeight="1">
      <c r="A153" s="910"/>
      <c r="B153" s="910"/>
      <c r="C153" s="910"/>
      <c r="D153" s="910"/>
      <c r="E153" s="910"/>
      <c r="F153" s="1552"/>
      <c r="G153" s="1552"/>
      <c r="H153" s="287"/>
      <c r="N153" s="1282"/>
      <c r="P153" s="1282"/>
      <c r="Q153" s="1552"/>
      <c r="R153" s="1552"/>
      <c r="S153" s="1282"/>
      <c r="T153" s="1282"/>
      <c r="U153" s="1282"/>
      <c r="V153" s="1282"/>
      <c r="W153" s="1552"/>
      <c r="X153" s="1282"/>
      <c r="Y153" s="1282"/>
      <c r="Z153" s="480"/>
      <c r="AA153" s="1282"/>
      <c r="AB153" s="1282"/>
      <c r="AC153" s="1282"/>
      <c r="AD153" s="1282"/>
      <c r="AE153" s="1282"/>
      <c r="AF153" s="1548"/>
      <c r="AG153" s="558"/>
      <c r="AH153" s="558"/>
      <c r="AI153" s="558"/>
      <c r="AJ153" s="558"/>
      <c r="AK153" s="1557">
        <v>11</v>
      </c>
    </row>
    <row r="154" spans="1:37" s="2335" customFormat="1" ht="11.45" customHeight="1">
      <c r="A154" s="910"/>
      <c r="B154" s="910"/>
      <c r="C154" s="910"/>
      <c r="D154" s="910"/>
      <c r="E154" s="910"/>
      <c r="F154" s="1552"/>
      <c r="G154" s="1552"/>
      <c r="H154" s="287"/>
      <c r="N154" s="1282"/>
      <c r="P154" s="1282"/>
      <c r="Q154" s="1552"/>
      <c r="R154" s="1552"/>
      <c r="S154" s="1282"/>
      <c r="T154" s="1282"/>
      <c r="U154" s="1282"/>
      <c r="V154" s="1282"/>
      <c r="W154" s="1552"/>
      <c r="X154" s="1282"/>
      <c r="Y154" s="1282"/>
      <c r="Z154" s="480"/>
      <c r="AA154" s="1282"/>
      <c r="AB154" s="1282"/>
      <c r="AC154" s="1282"/>
      <c r="AD154" s="1282"/>
      <c r="AE154" s="1282"/>
      <c r="AF154" s="1548"/>
      <c r="AG154" s="558"/>
      <c r="AH154" s="558"/>
      <c r="AI154" s="558"/>
      <c r="AJ154" s="558"/>
      <c r="AK154" s="1557">
        <v>11</v>
      </c>
    </row>
    <row r="155" spans="1:37" s="2335" customFormat="1" ht="11.45" customHeight="1">
      <c r="A155" s="910"/>
      <c r="B155" s="910"/>
      <c r="C155" s="910"/>
      <c r="D155" s="910"/>
      <c r="E155" s="910"/>
      <c r="F155" s="1552"/>
      <c r="G155" s="1552"/>
      <c r="H155" s="287"/>
      <c r="N155" s="1282"/>
      <c r="P155" s="1282"/>
      <c r="Q155" s="1552"/>
      <c r="R155" s="1552"/>
      <c r="S155" s="1282"/>
      <c r="T155" s="1282"/>
      <c r="U155" s="1282"/>
      <c r="V155" s="1282"/>
      <c r="W155" s="1552"/>
      <c r="X155" s="1282"/>
      <c r="Y155" s="1282"/>
      <c r="Z155" s="480"/>
      <c r="AA155" s="1282"/>
      <c r="AB155" s="1282"/>
      <c r="AC155" s="1282"/>
      <c r="AD155" s="1282"/>
      <c r="AE155" s="1282"/>
      <c r="AF155" s="1548"/>
      <c r="AG155" s="558"/>
      <c r="AH155" s="558"/>
      <c r="AI155" s="558"/>
      <c r="AJ155" s="558"/>
      <c r="AK155" s="1557">
        <v>11</v>
      </c>
    </row>
    <row r="156" spans="1:37" s="2335" customFormat="1" ht="11.45" customHeight="1">
      <c r="A156" s="910"/>
      <c r="B156" s="910"/>
      <c r="C156" s="910"/>
      <c r="D156" s="910"/>
      <c r="E156" s="910"/>
      <c r="F156" s="1552"/>
      <c r="G156" s="1552"/>
      <c r="H156" s="287"/>
      <c r="N156" s="1282"/>
      <c r="P156" s="1282"/>
      <c r="Q156" s="1552"/>
      <c r="R156" s="1552"/>
      <c r="S156" s="1282"/>
      <c r="T156" s="1282"/>
      <c r="U156" s="1282"/>
      <c r="V156" s="1282"/>
      <c r="W156" s="1552"/>
      <c r="X156" s="1282"/>
      <c r="Y156" s="1282"/>
      <c r="Z156" s="480"/>
      <c r="AA156" s="1282"/>
      <c r="AB156" s="1282"/>
      <c r="AC156" s="1282"/>
      <c r="AD156" s="1282"/>
      <c r="AE156" s="1282"/>
      <c r="AF156" s="1548"/>
      <c r="AG156" s="558"/>
      <c r="AH156" s="558"/>
      <c r="AI156" s="558"/>
      <c r="AJ156" s="558"/>
      <c r="AK156" s="1557">
        <v>11</v>
      </c>
    </row>
    <row r="157" spans="1:37" s="2335" customFormat="1" ht="11.45" customHeight="1">
      <c r="A157" s="910"/>
      <c r="B157" s="910"/>
      <c r="C157" s="910"/>
      <c r="D157" s="910"/>
      <c r="E157" s="910"/>
      <c r="F157" s="1552"/>
      <c r="G157" s="1552"/>
      <c r="H157" s="287"/>
      <c r="N157" s="1282"/>
      <c r="P157" s="1282"/>
      <c r="Q157" s="1552"/>
      <c r="R157" s="1552"/>
      <c r="S157" s="1282"/>
      <c r="T157" s="1282"/>
      <c r="U157" s="1282"/>
      <c r="V157" s="1282"/>
      <c r="W157" s="1552"/>
      <c r="X157" s="1282"/>
      <c r="Y157" s="1282"/>
      <c r="Z157" s="480"/>
      <c r="AA157" s="1282"/>
      <c r="AB157" s="1282"/>
      <c r="AC157" s="1282"/>
      <c r="AD157" s="1282"/>
      <c r="AE157" s="1282"/>
      <c r="AF157" s="1548"/>
      <c r="AG157" s="558"/>
      <c r="AH157" s="558"/>
      <c r="AI157" s="558"/>
      <c r="AJ157" s="558"/>
      <c r="AK157" s="1557">
        <v>11</v>
      </c>
    </row>
    <row r="158" spans="1:37" s="2335" customFormat="1" ht="11.45" customHeight="1">
      <c r="A158" s="910"/>
      <c r="B158" s="910"/>
      <c r="C158" s="910"/>
      <c r="D158" s="910"/>
      <c r="E158" s="910"/>
      <c r="F158" s="1552"/>
      <c r="G158" s="1552"/>
      <c r="H158" s="287"/>
      <c r="N158" s="1282"/>
      <c r="P158" s="1282"/>
      <c r="Q158" s="1552"/>
      <c r="R158" s="1552"/>
      <c r="S158" s="1282"/>
      <c r="T158" s="1282"/>
      <c r="U158" s="1282"/>
      <c r="V158" s="1282"/>
      <c r="W158" s="1552"/>
      <c r="X158" s="1282"/>
      <c r="Y158" s="1282"/>
      <c r="Z158" s="480"/>
      <c r="AA158" s="1282"/>
      <c r="AB158" s="1282"/>
      <c r="AC158" s="1282"/>
      <c r="AD158" s="1282"/>
      <c r="AE158" s="1282"/>
      <c r="AF158" s="1548"/>
      <c r="AG158" s="558"/>
      <c r="AH158" s="558"/>
      <c r="AI158" s="558"/>
      <c r="AJ158" s="558"/>
      <c r="AK158" s="1557">
        <v>11</v>
      </c>
    </row>
    <row r="159" spans="1:37" s="2335" customFormat="1" ht="11.45" customHeight="1">
      <c r="A159" s="910"/>
      <c r="B159" s="910"/>
      <c r="C159" s="910"/>
      <c r="D159" s="910"/>
      <c r="E159" s="910"/>
      <c r="F159" s="1552"/>
      <c r="G159" s="1552"/>
      <c r="H159" s="287"/>
      <c r="N159" s="1282"/>
      <c r="P159" s="1282"/>
      <c r="Q159" s="1552"/>
      <c r="R159" s="1552"/>
      <c r="S159" s="1282"/>
      <c r="T159" s="1282"/>
      <c r="U159" s="1282"/>
      <c r="V159" s="1282"/>
      <c r="W159" s="1552"/>
      <c r="X159" s="1282"/>
      <c r="Y159" s="1282"/>
      <c r="Z159" s="480"/>
      <c r="AA159" s="1282"/>
      <c r="AB159" s="1282"/>
      <c r="AC159" s="1282"/>
      <c r="AD159" s="1282"/>
      <c r="AE159" s="1282"/>
      <c r="AF159" s="1548"/>
      <c r="AG159" s="558"/>
      <c r="AH159" s="558"/>
      <c r="AI159" s="558"/>
      <c r="AJ159" s="558"/>
      <c r="AK159" s="1557">
        <v>11</v>
      </c>
    </row>
    <row r="160" spans="1:37" s="2335" customFormat="1" ht="11.45" customHeight="1">
      <c r="A160" s="910"/>
      <c r="B160" s="910"/>
      <c r="C160" s="910"/>
      <c r="D160" s="910"/>
      <c r="E160" s="910"/>
      <c r="F160" s="1552"/>
      <c r="G160" s="1552"/>
      <c r="H160" s="287"/>
      <c r="N160" s="1282"/>
      <c r="P160" s="1282"/>
      <c r="Q160" s="1552"/>
      <c r="R160" s="1552"/>
      <c r="S160" s="1282"/>
      <c r="T160" s="1282"/>
      <c r="U160" s="1282"/>
      <c r="V160" s="1282"/>
      <c r="W160" s="1552"/>
      <c r="X160" s="1282"/>
      <c r="Y160" s="1282"/>
      <c r="Z160" s="480"/>
      <c r="AA160" s="1282"/>
      <c r="AB160" s="1282"/>
      <c r="AC160" s="1282"/>
      <c r="AD160" s="1282"/>
      <c r="AE160" s="1282"/>
      <c r="AF160" s="1548"/>
      <c r="AG160" s="558"/>
      <c r="AH160" s="558"/>
      <c r="AI160" s="558"/>
      <c r="AJ160" s="558"/>
      <c r="AK160" s="1557">
        <v>11</v>
      </c>
    </row>
    <row r="161" spans="1:37" s="2335" customFormat="1" ht="11.45" customHeight="1">
      <c r="A161" s="910"/>
      <c r="B161" s="910"/>
      <c r="C161" s="910"/>
      <c r="D161" s="910"/>
      <c r="E161" s="910"/>
      <c r="F161" s="1552"/>
      <c r="G161" s="1552"/>
      <c r="H161" s="287"/>
      <c r="N161" s="1282"/>
      <c r="P161" s="1282"/>
      <c r="Q161" s="1552"/>
      <c r="R161" s="1552"/>
      <c r="S161" s="1282"/>
      <c r="T161" s="1282"/>
      <c r="U161" s="1282"/>
      <c r="V161" s="1282"/>
      <c r="W161" s="1552"/>
      <c r="X161" s="1282"/>
      <c r="Y161" s="1282"/>
      <c r="Z161" s="480"/>
      <c r="AA161" s="1282"/>
      <c r="AB161" s="1282"/>
      <c r="AC161" s="1282"/>
      <c r="AD161" s="1282"/>
      <c r="AE161" s="1282"/>
      <c r="AF161" s="1548"/>
      <c r="AG161" s="558"/>
      <c r="AH161" s="558"/>
      <c r="AI161" s="558"/>
      <c r="AJ161" s="558"/>
      <c r="AK161" s="1557">
        <v>11</v>
      </c>
    </row>
    <row r="162" spans="1:37" s="2335" customFormat="1" ht="11.45" customHeight="1">
      <c r="A162" s="910"/>
      <c r="B162" s="910"/>
      <c r="C162" s="910"/>
      <c r="D162" s="910"/>
      <c r="E162" s="910"/>
      <c r="F162" s="1552"/>
      <c r="G162" s="1552"/>
      <c r="H162" s="287"/>
      <c r="N162" s="1282"/>
      <c r="P162" s="1282"/>
      <c r="Q162" s="1552"/>
      <c r="R162" s="1552"/>
      <c r="S162" s="1282"/>
      <c r="T162" s="1282"/>
      <c r="U162" s="1282"/>
      <c r="V162" s="1282"/>
      <c r="W162" s="1552"/>
      <c r="X162" s="1282"/>
      <c r="Y162" s="1282"/>
      <c r="Z162" s="480"/>
      <c r="AA162" s="1282"/>
      <c r="AB162" s="1282"/>
      <c r="AC162" s="1282"/>
      <c r="AD162" s="1282"/>
      <c r="AE162" s="1282"/>
      <c r="AF162" s="1548"/>
      <c r="AG162" s="558"/>
      <c r="AH162" s="558"/>
      <c r="AI162" s="558"/>
      <c r="AJ162" s="558"/>
      <c r="AK162" s="1557">
        <v>11</v>
      </c>
    </row>
    <row r="163" spans="1:37" s="2335" customFormat="1" ht="11.45" customHeight="1">
      <c r="A163" s="910"/>
      <c r="B163" s="910"/>
      <c r="C163" s="910"/>
      <c r="D163" s="910"/>
      <c r="E163" s="910"/>
      <c r="F163" s="1552"/>
      <c r="G163" s="1552"/>
      <c r="H163" s="287"/>
      <c r="N163" s="1282"/>
      <c r="P163" s="1282"/>
      <c r="Q163" s="1552"/>
      <c r="R163" s="1552"/>
      <c r="S163" s="1282"/>
      <c r="T163" s="1282"/>
      <c r="U163" s="1282"/>
      <c r="V163" s="1282"/>
      <c r="W163" s="1552"/>
      <c r="X163" s="1282"/>
      <c r="Y163" s="1282"/>
      <c r="Z163" s="480"/>
      <c r="AA163" s="1282"/>
      <c r="AB163" s="1282"/>
      <c r="AC163" s="1282"/>
      <c r="AD163" s="1282"/>
      <c r="AE163" s="1282"/>
      <c r="AF163" s="1548"/>
      <c r="AG163" s="558"/>
      <c r="AH163" s="558"/>
      <c r="AI163" s="558"/>
      <c r="AJ163" s="558"/>
      <c r="AK163" s="1557">
        <v>11</v>
      </c>
    </row>
    <row r="164" spans="1:37" s="2335" customFormat="1" ht="11.45" customHeight="1">
      <c r="A164" s="910"/>
      <c r="B164" s="910"/>
      <c r="C164" s="910"/>
      <c r="D164" s="910"/>
      <c r="E164" s="910"/>
      <c r="F164" s="1552"/>
      <c r="G164" s="1552"/>
      <c r="H164" s="287"/>
      <c r="N164" s="1282"/>
      <c r="P164" s="1282"/>
      <c r="Q164" s="1552"/>
      <c r="R164" s="1552"/>
      <c r="S164" s="1282"/>
      <c r="T164" s="1282"/>
      <c r="U164" s="1282"/>
      <c r="V164" s="1282"/>
      <c r="W164" s="1552"/>
      <c r="X164" s="1282"/>
      <c r="Y164" s="1282"/>
      <c r="Z164" s="480"/>
      <c r="AA164" s="1282"/>
      <c r="AB164" s="1282"/>
      <c r="AC164" s="1282"/>
      <c r="AD164" s="1282"/>
      <c r="AE164" s="1282"/>
      <c r="AF164" s="1548"/>
      <c r="AG164" s="558"/>
      <c r="AH164" s="558"/>
      <c r="AI164" s="558"/>
      <c r="AJ164" s="558"/>
      <c r="AK164" s="1557">
        <v>11</v>
      </c>
    </row>
    <row r="165" spans="1:37" s="2335" customFormat="1" ht="11.45" customHeight="1">
      <c r="A165" s="910"/>
      <c r="B165" s="910"/>
      <c r="C165" s="910"/>
      <c r="D165" s="910"/>
      <c r="E165" s="910"/>
      <c r="F165" s="1552"/>
      <c r="G165" s="1552"/>
      <c r="H165" s="287"/>
      <c r="N165" s="1282"/>
      <c r="P165" s="1282"/>
      <c r="Q165" s="1552"/>
      <c r="R165" s="1552"/>
      <c r="S165" s="1282"/>
      <c r="T165" s="1282"/>
      <c r="U165" s="1282"/>
      <c r="V165" s="1282"/>
      <c r="W165" s="1552"/>
      <c r="X165" s="1282"/>
      <c r="Y165" s="1282"/>
      <c r="Z165" s="480"/>
      <c r="AA165" s="1282"/>
      <c r="AB165" s="1282"/>
      <c r="AC165" s="1282"/>
      <c r="AD165" s="1282"/>
      <c r="AE165" s="1282"/>
      <c r="AF165" s="1548"/>
      <c r="AG165" s="558"/>
      <c r="AH165" s="558"/>
      <c r="AI165" s="558"/>
      <c r="AJ165" s="558"/>
      <c r="AK165" s="1557">
        <v>11</v>
      </c>
    </row>
    <row r="166" spans="1:37" s="2335" customFormat="1" ht="11.45" customHeight="1">
      <c r="A166" s="910"/>
      <c r="B166" s="910"/>
      <c r="C166" s="910"/>
      <c r="D166" s="910"/>
      <c r="E166" s="910"/>
      <c r="F166" s="1552"/>
      <c r="G166" s="1552"/>
      <c r="H166" s="287"/>
      <c r="N166" s="1282"/>
      <c r="P166" s="1282"/>
      <c r="Q166" s="1552"/>
      <c r="R166" s="1552"/>
      <c r="S166" s="1282"/>
      <c r="T166" s="1282"/>
      <c r="U166" s="1282"/>
      <c r="V166" s="1282"/>
      <c r="W166" s="1552"/>
      <c r="X166" s="1282"/>
      <c r="Y166" s="1282"/>
      <c r="Z166" s="480"/>
      <c r="AA166" s="1282"/>
      <c r="AB166" s="1282"/>
      <c r="AC166" s="1282"/>
      <c r="AD166" s="1282"/>
      <c r="AE166" s="1282"/>
      <c r="AF166" s="1548"/>
      <c r="AG166" s="558"/>
      <c r="AH166" s="558"/>
      <c r="AI166" s="558"/>
      <c r="AJ166" s="558"/>
      <c r="AK166" s="1557">
        <v>11</v>
      </c>
    </row>
    <row r="167" spans="1:37" s="2335" customFormat="1" ht="11.45" customHeight="1">
      <c r="A167" s="910"/>
      <c r="B167" s="910"/>
      <c r="C167" s="910"/>
      <c r="D167" s="910"/>
      <c r="E167" s="910"/>
      <c r="F167" s="1552"/>
      <c r="G167" s="1552"/>
      <c r="H167" s="287"/>
      <c r="N167" s="1282"/>
      <c r="P167" s="1282"/>
      <c r="Q167" s="1552"/>
      <c r="R167" s="1552"/>
      <c r="S167" s="1282"/>
      <c r="T167" s="1282"/>
      <c r="U167" s="1282"/>
      <c r="V167" s="1282"/>
      <c r="W167" s="1552"/>
      <c r="X167" s="1282"/>
      <c r="Y167" s="1282"/>
      <c r="Z167" s="480"/>
      <c r="AA167" s="1282"/>
      <c r="AB167" s="1282"/>
      <c r="AC167" s="1282"/>
      <c r="AD167" s="1282"/>
      <c r="AE167" s="1282"/>
      <c r="AF167" s="1548"/>
      <c r="AG167" s="558"/>
      <c r="AH167" s="558"/>
      <c r="AI167" s="558"/>
      <c r="AJ167" s="558"/>
      <c r="AK167" s="1557">
        <v>11</v>
      </c>
    </row>
    <row r="168" spans="1:37" s="2335" customFormat="1" ht="11.45" customHeight="1">
      <c r="A168" s="910"/>
      <c r="B168" s="910"/>
      <c r="C168" s="910"/>
      <c r="D168" s="910"/>
      <c r="E168" s="910"/>
      <c r="F168" s="1552"/>
      <c r="G168" s="1552"/>
      <c r="H168" s="287"/>
      <c r="N168" s="1282"/>
      <c r="P168" s="1282"/>
      <c r="Q168" s="1552"/>
      <c r="R168" s="1552"/>
      <c r="S168" s="1282"/>
      <c r="T168" s="1282"/>
      <c r="U168" s="1282"/>
      <c r="V168" s="1282"/>
      <c r="W168" s="1552"/>
      <c r="X168" s="1282"/>
      <c r="Y168" s="1282"/>
      <c r="Z168" s="480"/>
      <c r="AA168" s="1282"/>
      <c r="AB168" s="1282"/>
      <c r="AC168" s="1282"/>
      <c r="AD168" s="1282"/>
      <c r="AE168" s="1282"/>
      <c r="AF168" s="1548"/>
      <c r="AG168" s="558"/>
      <c r="AH168" s="558"/>
      <c r="AI168" s="558"/>
      <c r="AJ168" s="558"/>
      <c r="AK168" s="1557">
        <v>11</v>
      </c>
    </row>
    <row r="169" spans="1:37" s="2335" customFormat="1" ht="11.45" customHeight="1">
      <c r="A169" s="910"/>
      <c r="B169" s="910"/>
      <c r="C169" s="910"/>
      <c r="D169" s="910"/>
      <c r="E169" s="910"/>
      <c r="F169" s="1552"/>
      <c r="G169" s="1552"/>
      <c r="H169" s="287"/>
      <c r="N169" s="1282"/>
      <c r="P169" s="1282"/>
      <c r="Q169" s="1552"/>
      <c r="R169" s="1552"/>
      <c r="S169" s="1282"/>
      <c r="T169" s="1282"/>
      <c r="U169" s="1282"/>
      <c r="V169" s="1282"/>
      <c r="W169" s="1552"/>
      <c r="X169" s="1282"/>
      <c r="Y169" s="1282"/>
      <c r="Z169" s="480"/>
      <c r="AA169" s="1282"/>
      <c r="AB169" s="1282"/>
      <c r="AC169" s="1282"/>
      <c r="AD169" s="1282"/>
      <c r="AE169" s="1282"/>
      <c r="AF169" s="1548"/>
      <c r="AG169" s="558"/>
      <c r="AH169" s="558"/>
      <c r="AI169" s="558"/>
      <c r="AJ169" s="558"/>
      <c r="AK169" s="1557">
        <v>11</v>
      </c>
    </row>
    <row r="170" spans="1:37" s="2335" customFormat="1" ht="11.45" customHeight="1">
      <c r="A170" s="910"/>
      <c r="B170" s="910"/>
      <c r="C170" s="910"/>
      <c r="D170" s="910"/>
      <c r="E170" s="910"/>
      <c r="F170" s="1552"/>
      <c r="G170" s="1552"/>
      <c r="H170" s="287"/>
      <c r="N170" s="1282"/>
      <c r="P170" s="1282"/>
      <c r="Q170" s="1552"/>
      <c r="R170" s="1552"/>
      <c r="S170" s="1282"/>
      <c r="T170" s="1282"/>
      <c r="U170" s="1282"/>
      <c r="V170" s="1282"/>
      <c r="W170" s="1552"/>
      <c r="X170" s="1282"/>
      <c r="Y170" s="1282"/>
      <c r="Z170" s="480"/>
      <c r="AA170" s="1282"/>
      <c r="AB170" s="1282"/>
      <c r="AC170" s="1282"/>
      <c r="AD170" s="1282"/>
      <c r="AE170" s="1282"/>
      <c r="AF170" s="1548"/>
      <c r="AG170" s="558"/>
      <c r="AH170" s="558"/>
      <c r="AI170" s="558"/>
      <c r="AJ170" s="558"/>
      <c r="AK170" s="1557">
        <v>11</v>
      </c>
    </row>
    <row r="171" spans="1:37" s="2335" customFormat="1" ht="11.45" customHeight="1">
      <c r="A171" s="910"/>
      <c r="B171" s="910"/>
      <c r="C171" s="910"/>
      <c r="D171" s="910"/>
      <c r="E171" s="910"/>
      <c r="F171" s="1552"/>
      <c r="G171" s="1552"/>
      <c r="H171" s="287"/>
      <c r="N171" s="1282"/>
      <c r="P171" s="1282"/>
      <c r="Q171" s="1552"/>
      <c r="R171" s="1552"/>
      <c r="S171" s="1282"/>
      <c r="T171" s="1282"/>
      <c r="U171" s="1282"/>
      <c r="V171" s="1282"/>
      <c r="W171" s="1552"/>
      <c r="X171" s="1282"/>
      <c r="Y171" s="1282"/>
      <c r="Z171" s="480"/>
      <c r="AA171" s="1282"/>
      <c r="AB171" s="1282"/>
      <c r="AC171" s="1282"/>
      <c r="AD171" s="1282"/>
      <c r="AE171" s="1282"/>
      <c r="AF171" s="1548"/>
      <c r="AG171" s="558"/>
      <c r="AH171" s="558"/>
      <c r="AI171" s="558"/>
      <c r="AJ171" s="558"/>
      <c r="AK171" s="1557">
        <v>11</v>
      </c>
    </row>
    <row r="172" spans="1:37" s="2335" customFormat="1" ht="11.45" customHeight="1">
      <c r="A172" s="910"/>
      <c r="B172" s="910"/>
      <c r="C172" s="910"/>
      <c r="D172" s="910"/>
      <c r="E172" s="910"/>
      <c r="F172" s="1552"/>
      <c r="G172" s="1552"/>
      <c r="H172" s="287"/>
      <c r="N172" s="1282"/>
      <c r="P172" s="1282"/>
      <c r="Q172" s="1552"/>
      <c r="R172" s="1552"/>
      <c r="S172" s="1282"/>
      <c r="T172" s="1282"/>
      <c r="U172" s="1282"/>
      <c r="V172" s="1282"/>
      <c r="W172" s="1552"/>
      <c r="X172" s="1282"/>
      <c r="Y172" s="1282"/>
      <c r="Z172" s="480"/>
      <c r="AA172" s="1282"/>
      <c r="AB172" s="1282"/>
      <c r="AC172" s="1282"/>
      <c r="AD172" s="1282"/>
      <c r="AE172" s="1282"/>
      <c r="AF172" s="1548"/>
      <c r="AG172" s="558"/>
      <c r="AH172" s="558"/>
      <c r="AI172" s="558"/>
      <c r="AJ172" s="558"/>
      <c r="AK172" s="1557">
        <v>11</v>
      </c>
    </row>
    <row r="173" spans="1:37" s="2335" customFormat="1" ht="11.45" customHeight="1">
      <c r="A173" s="910"/>
      <c r="B173" s="910"/>
      <c r="C173" s="910"/>
      <c r="D173" s="910"/>
      <c r="E173" s="910"/>
      <c r="F173" s="1552"/>
      <c r="G173" s="1552"/>
      <c r="H173" s="287"/>
      <c r="N173" s="1282"/>
      <c r="P173" s="1282"/>
      <c r="Q173" s="1552"/>
      <c r="R173" s="1552"/>
      <c r="S173" s="1282"/>
      <c r="T173" s="1282"/>
      <c r="U173" s="1282"/>
      <c r="V173" s="1282"/>
      <c r="W173" s="1552"/>
      <c r="X173" s="1282"/>
      <c r="Y173" s="1282"/>
      <c r="Z173" s="480"/>
      <c r="AA173" s="1282"/>
      <c r="AB173" s="1282"/>
      <c r="AC173" s="1282"/>
      <c r="AD173" s="1282"/>
      <c r="AE173" s="1282"/>
      <c r="AF173" s="1548"/>
      <c r="AG173" s="558"/>
      <c r="AH173" s="558"/>
      <c r="AI173" s="558"/>
      <c r="AJ173" s="558"/>
      <c r="AK173" s="1557">
        <v>11</v>
      </c>
    </row>
    <row r="174" spans="1:37" s="2335" customFormat="1" ht="11.45" customHeight="1">
      <c r="A174" s="910"/>
      <c r="B174" s="910"/>
      <c r="C174" s="910"/>
      <c r="D174" s="910"/>
      <c r="E174" s="910"/>
      <c r="F174" s="1552"/>
      <c r="G174" s="1552"/>
      <c r="H174" s="287"/>
      <c r="N174" s="1282"/>
      <c r="P174" s="1282"/>
      <c r="Q174" s="1552"/>
      <c r="R174" s="1552"/>
      <c r="S174" s="1282"/>
      <c r="T174" s="1282"/>
      <c r="U174" s="1282"/>
      <c r="V174" s="1282"/>
      <c r="W174" s="1552"/>
      <c r="X174" s="1282"/>
      <c r="Y174" s="1282"/>
      <c r="Z174" s="480"/>
      <c r="AA174" s="1282"/>
      <c r="AB174" s="1282"/>
      <c r="AC174" s="1282"/>
      <c r="AD174" s="1282"/>
      <c r="AE174" s="1282"/>
      <c r="AF174" s="1548"/>
      <c r="AG174" s="558"/>
      <c r="AH174" s="558"/>
      <c r="AI174" s="558"/>
      <c r="AJ174" s="558"/>
      <c r="AK174" s="1557">
        <v>11</v>
      </c>
    </row>
    <row r="175" spans="1:37" s="2335" customFormat="1" ht="11.45" customHeight="1">
      <c r="A175" s="910"/>
      <c r="B175" s="910"/>
      <c r="C175" s="910"/>
      <c r="D175" s="910"/>
      <c r="E175" s="910"/>
      <c r="F175" s="1552"/>
      <c r="G175" s="1552"/>
      <c r="H175" s="287"/>
      <c r="N175" s="1282"/>
      <c r="P175" s="1282"/>
      <c r="Q175" s="1552"/>
      <c r="R175" s="1552"/>
      <c r="S175" s="1282"/>
      <c r="T175" s="1282"/>
      <c r="U175" s="1282"/>
      <c r="V175" s="1282"/>
      <c r="W175" s="1552"/>
      <c r="X175" s="1282"/>
      <c r="Y175" s="1282"/>
      <c r="Z175" s="480"/>
      <c r="AA175" s="1282"/>
      <c r="AB175" s="1282"/>
      <c r="AC175" s="1282"/>
      <c r="AD175" s="1282"/>
      <c r="AE175" s="1282"/>
      <c r="AF175" s="1548"/>
      <c r="AG175" s="558"/>
      <c r="AH175" s="558"/>
      <c r="AI175" s="558"/>
      <c r="AJ175" s="558"/>
      <c r="AK175" s="1557">
        <v>11</v>
      </c>
    </row>
    <row r="176" spans="1:37" s="2335" customFormat="1" ht="11.45" customHeight="1">
      <c r="A176" s="910"/>
      <c r="B176" s="910"/>
      <c r="C176" s="910"/>
      <c r="D176" s="910"/>
      <c r="E176" s="910"/>
      <c r="F176" s="1552"/>
      <c r="G176" s="1552"/>
      <c r="H176" s="287"/>
      <c r="N176" s="1282"/>
      <c r="P176" s="1282"/>
      <c r="Q176" s="1552"/>
      <c r="R176" s="1552"/>
      <c r="S176" s="1282"/>
      <c r="T176" s="1282"/>
      <c r="U176" s="1282"/>
      <c r="V176" s="1282"/>
      <c r="W176" s="1552"/>
      <c r="X176" s="1282"/>
      <c r="Y176" s="1282"/>
      <c r="Z176" s="480"/>
      <c r="AA176" s="1282"/>
      <c r="AB176" s="1282"/>
      <c r="AC176" s="1282"/>
      <c r="AD176" s="1282"/>
      <c r="AE176" s="1282"/>
      <c r="AF176" s="1548"/>
      <c r="AG176" s="558"/>
      <c r="AH176" s="558"/>
      <c r="AI176" s="558"/>
      <c r="AJ176" s="558"/>
      <c r="AK176" s="1557">
        <v>11</v>
      </c>
    </row>
    <row r="177" spans="1:37" s="2335" customFormat="1" ht="11.45" customHeight="1">
      <c r="A177" s="910"/>
      <c r="B177" s="910"/>
      <c r="C177" s="910"/>
      <c r="D177" s="910"/>
      <c r="E177" s="910"/>
      <c r="F177" s="1552"/>
      <c r="G177" s="1552"/>
      <c r="H177" s="287"/>
      <c r="N177" s="1282"/>
      <c r="P177" s="1282"/>
      <c r="Q177" s="1552"/>
      <c r="R177" s="1552"/>
      <c r="S177" s="1282"/>
      <c r="T177" s="1282"/>
      <c r="U177" s="1282"/>
      <c r="V177" s="1282"/>
      <c r="W177" s="1552"/>
      <c r="X177" s="1282"/>
      <c r="Y177" s="1282"/>
      <c r="Z177" s="480"/>
      <c r="AA177" s="1282"/>
      <c r="AB177" s="1282"/>
      <c r="AC177" s="1282"/>
      <c r="AD177" s="1282"/>
      <c r="AE177" s="1282"/>
      <c r="AF177" s="1548"/>
      <c r="AG177" s="558"/>
      <c r="AH177" s="558"/>
      <c r="AI177" s="558"/>
      <c r="AJ177" s="558"/>
      <c r="AK177" s="1557">
        <v>11</v>
      </c>
    </row>
    <row r="178" spans="1:37" s="2335" customFormat="1" ht="11.45" customHeight="1">
      <c r="A178" s="910"/>
      <c r="B178" s="910"/>
      <c r="C178" s="910"/>
      <c r="D178" s="910"/>
      <c r="E178" s="910"/>
      <c r="F178" s="1552"/>
      <c r="G178" s="1552"/>
      <c r="H178" s="287"/>
      <c r="N178" s="1282"/>
      <c r="P178" s="1282"/>
      <c r="Q178" s="1552"/>
      <c r="R178" s="1552"/>
      <c r="S178" s="1282"/>
      <c r="T178" s="1282"/>
      <c r="U178" s="1282"/>
      <c r="V178" s="1282"/>
      <c r="W178" s="1552"/>
      <c r="X178" s="1282"/>
      <c r="Y178" s="1282"/>
      <c r="Z178" s="480"/>
      <c r="AA178" s="1282"/>
      <c r="AB178" s="1282"/>
      <c r="AC178" s="1282"/>
      <c r="AD178" s="1282"/>
      <c r="AE178" s="1282"/>
      <c r="AF178" s="1548"/>
      <c r="AG178" s="558"/>
      <c r="AH178" s="558"/>
      <c r="AI178" s="558"/>
      <c r="AJ178" s="558"/>
      <c r="AK178" s="1557">
        <v>11</v>
      </c>
    </row>
    <row r="179" spans="1:37" s="2335" customFormat="1" ht="11.45" customHeight="1">
      <c r="A179" s="910"/>
      <c r="B179" s="910"/>
      <c r="C179" s="910"/>
      <c r="D179" s="910"/>
      <c r="E179" s="910"/>
      <c r="F179" s="1552"/>
      <c r="G179" s="1552"/>
      <c r="H179" s="287"/>
      <c r="N179" s="1282"/>
      <c r="P179" s="1282"/>
      <c r="Q179" s="1552"/>
      <c r="R179" s="1552"/>
      <c r="S179" s="1282"/>
      <c r="T179" s="1282"/>
      <c r="U179" s="1282"/>
      <c r="V179" s="1282"/>
      <c r="W179" s="1552"/>
      <c r="X179" s="1282"/>
      <c r="Y179" s="1282"/>
      <c r="Z179" s="480"/>
      <c r="AA179" s="1282"/>
      <c r="AB179" s="1282"/>
      <c r="AC179" s="1282"/>
      <c r="AD179" s="1282"/>
      <c r="AE179" s="1282"/>
      <c r="AF179" s="1548"/>
      <c r="AG179" s="558"/>
      <c r="AH179" s="558"/>
      <c r="AI179" s="558"/>
      <c r="AJ179" s="558"/>
      <c r="AK179" s="1557">
        <v>11</v>
      </c>
    </row>
    <row r="180" spans="1:37" s="2335" customFormat="1" ht="11.45" customHeight="1">
      <c r="A180" s="910"/>
      <c r="B180" s="910"/>
      <c r="C180" s="910"/>
      <c r="D180" s="910"/>
      <c r="E180" s="910"/>
      <c r="F180" s="1552"/>
      <c r="G180" s="1552"/>
      <c r="H180" s="287"/>
      <c r="N180" s="1282"/>
      <c r="P180" s="1282"/>
      <c r="Q180" s="1552"/>
      <c r="R180" s="1552"/>
      <c r="S180" s="1282"/>
      <c r="T180" s="1282"/>
      <c r="U180" s="1282"/>
      <c r="V180" s="1282"/>
      <c r="W180" s="1552"/>
      <c r="X180" s="1282"/>
      <c r="Y180" s="1282"/>
      <c r="Z180" s="480"/>
      <c r="AA180" s="1282"/>
      <c r="AB180" s="1282"/>
      <c r="AC180" s="1282"/>
      <c r="AD180" s="1282"/>
      <c r="AE180" s="1282"/>
      <c r="AF180" s="1548"/>
      <c r="AG180" s="558"/>
      <c r="AH180" s="558"/>
      <c r="AI180" s="558"/>
      <c r="AJ180" s="558"/>
      <c r="AK180" s="1557">
        <v>11</v>
      </c>
    </row>
    <row r="181" spans="1:37" s="2335" customFormat="1" ht="11.45" customHeight="1">
      <c r="A181" s="910"/>
      <c r="B181" s="910"/>
      <c r="C181" s="910"/>
      <c r="D181" s="910"/>
      <c r="E181" s="910"/>
      <c r="F181" s="1552"/>
      <c r="G181" s="1552"/>
      <c r="H181" s="287"/>
      <c r="N181" s="1282"/>
      <c r="P181" s="1282"/>
      <c r="Q181" s="1552"/>
      <c r="R181" s="1552"/>
      <c r="S181" s="1282"/>
      <c r="T181" s="1282"/>
      <c r="U181" s="1282"/>
      <c r="V181" s="1282"/>
      <c r="W181" s="1552"/>
      <c r="X181" s="1282"/>
      <c r="Y181" s="1282"/>
      <c r="Z181" s="480"/>
      <c r="AA181" s="1282"/>
      <c r="AB181" s="1282"/>
      <c r="AC181" s="1282"/>
      <c r="AD181" s="1282"/>
      <c r="AE181" s="1282"/>
      <c r="AF181" s="1548"/>
      <c r="AG181" s="558"/>
      <c r="AH181" s="558"/>
      <c r="AI181" s="558"/>
      <c r="AJ181" s="558"/>
      <c r="AK181" s="1557">
        <v>11</v>
      </c>
    </row>
    <row r="182" spans="1:37" s="2335" customFormat="1" ht="11.45" customHeight="1">
      <c r="A182" s="910"/>
      <c r="B182" s="910"/>
      <c r="C182" s="910"/>
      <c r="D182" s="910"/>
      <c r="E182" s="910"/>
      <c r="F182" s="1552"/>
      <c r="G182" s="1552"/>
      <c r="H182" s="287"/>
      <c r="N182" s="1282"/>
      <c r="P182" s="1282"/>
      <c r="Q182" s="1552"/>
      <c r="R182" s="1552"/>
      <c r="S182" s="1282"/>
      <c r="T182" s="1282"/>
      <c r="U182" s="1282"/>
      <c r="V182" s="1282"/>
      <c r="W182" s="1552"/>
      <c r="X182" s="1282"/>
      <c r="Y182" s="1282"/>
      <c r="Z182" s="480"/>
      <c r="AA182" s="1282"/>
      <c r="AB182" s="1282"/>
      <c r="AC182" s="1282"/>
      <c r="AD182" s="1282"/>
      <c r="AE182" s="1282"/>
      <c r="AF182" s="1548"/>
      <c r="AG182" s="558"/>
      <c r="AH182" s="558"/>
      <c r="AI182" s="558"/>
      <c r="AJ182" s="558"/>
      <c r="AK182" s="1557">
        <v>11</v>
      </c>
    </row>
    <row r="183" spans="1:37" s="2335" customFormat="1" ht="11.45" customHeight="1">
      <c r="A183" s="910"/>
      <c r="B183" s="910"/>
      <c r="C183" s="910"/>
      <c r="D183" s="910"/>
      <c r="E183" s="910"/>
      <c r="F183" s="1552"/>
      <c r="G183" s="1552"/>
      <c r="H183" s="287"/>
      <c r="N183" s="1282"/>
      <c r="P183" s="1282"/>
      <c r="Q183" s="1552"/>
      <c r="R183" s="1552"/>
      <c r="S183" s="1282"/>
      <c r="T183" s="1282"/>
      <c r="U183" s="1282"/>
      <c r="V183" s="1282"/>
      <c r="W183" s="1552"/>
      <c r="X183" s="1282"/>
      <c r="Y183" s="1282"/>
      <c r="Z183" s="480"/>
      <c r="AA183" s="1282"/>
      <c r="AB183" s="1282"/>
      <c r="AC183" s="1282"/>
      <c r="AD183" s="1282"/>
      <c r="AE183" s="1282"/>
      <c r="AF183" s="1548"/>
      <c r="AG183" s="558"/>
      <c r="AH183" s="558"/>
      <c r="AI183" s="558"/>
      <c r="AJ183" s="558"/>
      <c r="AK183" s="1557">
        <v>11</v>
      </c>
    </row>
    <row r="184" spans="1:37" s="2335" customFormat="1" ht="11.45" customHeight="1">
      <c r="A184" s="910"/>
      <c r="B184" s="910"/>
      <c r="C184" s="910"/>
      <c r="D184" s="910"/>
      <c r="E184" s="910"/>
      <c r="F184" s="1552"/>
      <c r="G184" s="1552"/>
      <c r="H184" s="287"/>
      <c r="N184" s="1282"/>
      <c r="P184" s="1282"/>
      <c r="Q184" s="1552"/>
      <c r="R184" s="1552"/>
      <c r="S184" s="1282"/>
      <c r="T184" s="1282"/>
      <c r="U184" s="1282"/>
      <c r="V184" s="1282"/>
      <c r="W184" s="1552"/>
      <c r="X184" s="1282"/>
      <c r="Y184" s="1282"/>
      <c r="Z184" s="480"/>
      <c r="AA184" s="1282"/>
      <c r="AB184" s="1282"/>
      <c r="AC184" s="1282"/>
      <c r="AD184" s="1282"/>
      <c r="AE184" s="1282"/>
      <c r="AF184" s="1548"/>
      <c r="AG184" s="558"/>
      <c r="AH184" s="558"/>
      <c r="AI184" s="558"/>
      <c r="AJ184" s="558"/>
      <c r="AK184" s="1557">
        <v>11</v>
      </c>
    </row>
    <row r="185" spans="1:37" s="2335" customFormat="1" ht="11.45" customHeight="1">
      <c r="A185" s="910"/>
      <c r="B185" s="910"/>
      <c r="C185" s="910"/>
      <c r="D185" s="910"/>
      <c r="E185" s="910"/>
      <c r="F185" s="1552"/>
      <c r="G185" s="1552"/>
      <c r="H185" s="287"/>
      <c r="N185" s="1282"/>
      <c r="P185" s="1282"/>
      <c r="Q185" s="1552"/>
      <c r="R185" s="1552"/>
      <c r="S185" s="1282"/>
      <c r="T185" s="1282"/>
      <c r="U185" s="1282"/>
      <c r="V185" s="1282"/>
      <c r="W185" s="1552"/>
      <c r="X185" s="1282"/>
      <c r="Y185" s="1282"/>
      <c r="Z185" s="480"/>
      <c r="AA185" s="1282"/>
      <c r="AB185" s="1282"/>
      <c r="AC185" s="1282"/>
      <c r="AD185" s="1282"/>
      <c r="AE185" s="1282"/>
      <c r="AF185" s="1548"/>
      <c r="AG185" s="558"/>
      <c r="AH185" s="558"/>
      <c r="AI185" s="558"/>
      <c r="AJ185" s="558"/>
      <c r="AK185" s="1557">
        <v>11</v>
      </c>
    </row>
    <row r="186" spans="1:37" s="2335" customFormat="1" ht="11.45" customHeight="1">
      <c r="A186" s="910"/>
      <c r="B186" s="910"/>
      <c r="C186" s="910"/>
      <c r="D186" s="910"/>
      <c r="E186" s="910"/>
      <c r="F186" s="1552"/>
      <c r="G186" s="1552"/>
      <c r="H186" s="287"/>
      <c r="N186" s="1282"/>
      <c r="P186" s="1282"/>
      <c r="Q186" s="1552"/>
      <c r="R186" s="1552"/>
      <c r="S186" s="1282"/>
      <c r="T186" s="1282"/>
      <c r="U186" s="1282"/>
      <c r="V186" s="1282"/>
      <c r="W186" s="1552"/>
      <c r="X186" s="1282"/>
      <c r="Y186" s="1282"/>
      <c r="Z186" s="480"/>
      <c r="AA186" s="1282"/>
      <c r="AB186" s="1282"/>
      <c r="AC186" s="1282"/>
      <c r="AD186" s="1282"/>
      <c r="AE186" s="1282"/>
      <c r="AF186" s="1548"/>
      <c r="AG186" s="558"/>
      <c r="AH186" s="558"/>
      <c r="AI186" s="558"/>
      <c r="AJ186" s="558"/>
      <c r="AK186" s="1557">
        <v>11</v>
      </c>
    </row>
    <row r="187" spans="1:37" s="2335" customFormat="1" ht="11.45" customHeight="1">
      <c r="A187" s="910"/>
      <c r="B187" s="910"/>
      <c r="C187" s="910"/>
      <c r="D187" s="910"/>
      <c r="E187" s="910"/>
      <c r="F187" s="1552"/>
      <c r="G187" s="1552"/>
      <c r="H187" s="287"/>
      <c r="N187" s="1282"/>
      <c r="P187" s="1282"/>
      <c r="Q187" s="1552"/>
      <c r="R187" s="1552"/>
      <c r="S187" s="1282"/>
      <c r="T187" s="1282"/>
      <c r="U187" s="1282"/>
      <c r="V187" s="1282"/>
      <c r="W187" s="1552"/>
      <c r="X187" s="1282"/>
      <c r="Y187" s="1282"/>
      <c r="Z187" s="480"/>
      <c r="AA187" s="1282"/>
      <c r="AB187" s="1282"/>
      <c r="AC187" s="1282"/>
      <c r="AD187" s="1282"/>
      <c r="AE187" s="1282"/>
      <c r="AF187" s="1548"/>
      <c r="AG187" s="558"/>
      <c r="AH187" s="558"/>
      <c r="AI187" s="558"/>
      <c r="AJ187" s="558"/>
      <c r="AK187" s="1557">
        <v>11</v>
      </c>
    </row>
    <row r="188" spans="1:37" s="2335" customFormat="1" ht="11.45" customHeight="1">
      <c r="A188" s="910"/>
      <c r="B188" s="910"/>
      <c r="C188" s="910"/>
      <c r="D188" s="910"/>
      <c r="E188" s="910"/>
      <c r="F188" s="1552"/>
      <c r="G188" s="1552"/>
      <c r="H188" s="287"/>
      <c r="N188" s="1282"/>
      <c r="P188" s="1282"/>
      <c r="Q188" s="1552"/>
      <c r="R188" s="1552"/>
      <c r="S188" s="1282"/>
      <c r="T188" s="1282"/>
      <c r="U188" s="1282"/>
      <c r="V188" s="1282"/>
      <c r="W188" s="1552"/>
      <c r="X188" s="1282"/>
      <c r="Y188" s="1282"/>
      <c r="Z188" s="480"/>
      <c r="AA188" s="1282"/>
      <c r="AB188" s="1282"/>
      <c r="AC188" s="1282"/>
      <c r="AD188" s="1282"/>
      <c r="AE188" s="1282"/>
      <c r="AF188" s="1548"/>
      <c r="AG188" s="558"/>
      <c r="AH188" s="558"/>
      <c r="AI188" s="558"/>
      <c r="AJ188" s="558"/>
      <c r="AK188" s="1557">
        <v>11</v>
      </c>
    </row>
    <row r="189" spans="1:37" s="2335" customFormat="1" ht="11.45" customHeight="1">
      <c r="A189" s="910"/>
      <c r="B189" s="910"/>
      <c r="C189" s="910"/>
      <c r="D189" s="910"/>
      <c r="E189" s="910"/>
      <c r="F189" s="1552"/>
      <c r="G189" s="1552"/>
      <c r="H189" s="287"/>
      <c r="N189" s="1282"/>
      <c r="P189" s="1282"/>
      <c r="Q189" s="1552"/>
      <c r="R189" s="1552"/>
      <c r="S189" s="1282"/>
      <c r="T189" s="1282"/>
      <c r="U189" s="1282"/>
      <c r="V189" s="1282"/>
      <c r="W189" s="1552"/>
      <c r="X189" s="1282"/>
      <c r="Y189" s="1282"/>
      <c r="Z189" s="480"/>
      <c r="AA189" s="1282"/>
      <c r="AB189" s="1282"/>
      <c r="AC189" s="1282"/>
      <c r="AD189" s="1282"/>
      <c r="AE189" s="1282"/>
      <c r="AF189" s="1548"/>
      <c r="AG189" s="558"/>
      <c r="AH189" s="558"/>
      <c r="AI189" s="558"/>
      <c r="AJ189" s="558"/>
      <c r="AK189" s="1557">
        <v>11</v>
      </c>
    </row>
    <row r="190" spans="1:37" ht="11.45" customHeight="1">
      <c r="AK190" s="1547">
        <v>11</v>
      </c>
    </row>
    <row r="191" spans="1:37" ht="11.45" customHeight="1">
      <c r="AK191" s="1547">
        <v>11</v>
      </c>
    </row>
    <row r="192" spans="1:37" ht="11.45" customHeight="1">
      <c r="AK192" s="1547">
        <v>11</v>
      </c>
    </row>
    <row r="193" spans="1:37" ht="11.45" customHeight="1">
      <c r="A193" s="913"/>
      <c r="B193" s="913"/>
      <c r="C193" s="913"/>
      <c r="D193" s="913"/>
      <c r="E193" s="913"/>
      <c r="F193" s="1547"/>
      <c r="H193" s="1547"/>
      <c r="N193" s="1547"/>
      <c r="P193" s="1547"/>
      <c r="S193" s="1547"/>
      <c r="T193" s="1547"/>
      <c r="U193" s="1547"/>
      <c r="V193" s="1547"/>
      <c r="X193" s="1547"/>
      <c r="Y193" s="1547"/>
      <c r="Z193" s="1547"/>
      <c r="AA193" s="1547"/>
      <c r="AB193" s="1547"/>
      <c r="AC193" s="1547"/>
      <c r="AD193" s="1547"/>
      <c r="AE193" s="1547"/>
      <c r="AF193" s="1547"/>
      <c r="AG193" s="1547"/>
      <c r="AH193" s="1547"/>
      <c r="AI193" s="1547"/>
      <c r="AJ193" s="1547"/>
      <c r="AK193" s="1547">
        <v>11</v>
      </c>
    </row>
    <row r="194" spans="1:37" ht="11.45" customHeight="1">
      <c r="A194" s="913"/>
      <c r="B194" s="913"/>
      <c r="C194" s="913"/>
      <c r="D194" s="913"/>
      <c r="E194" s="913"/>
      <c r="F194" s="1547"/>
      <c r="H194" s="1547"/>
      <c r="N194" s="1547"/>
      <c r="P194" s="1547"/>
      <c r="S194" s="1547"/>
      <c r="T194" s="1547"/>
      <c r="U194" s="1547"/>
      <c r="V194" s="1547"/>
      <c r="X194" s="1547"/>
      <c r="Y194" s="1547"/>
      <c r="Z194" s="1547"/>
      <c r="AA194" s="1547"/>
      <c r="AB194" s="1547"/>
      <c r="AC194" s="1547"/>
      <c r="AD194" s="1547"/>
      <c r="AE194" s="1547"/>
      <c r="AF194" s="1547"/>
      <c r="AG194" s="1547"/>
      <c r="AH194" s="1547"/>
      <c r="AI194" s="1547"/>
      <c r="AJ194" s="1547"/>
      <c r="AK194" s="1547">
        <v>11</v>
      </c>
    </row>
    <row r="195" spans="1:37" ht="11.45" customHeight="1">
      <c r="A195" s="913"/>
      <c r="B195" s="913"/>
      <c r="C195" s="913"/>
      <c r="D195" s="913"/>
      <c r="E195" s="913"/>
      <c r="F195" s="1547"/>
      <c r="H195" s="1547"/>
      <c r="N195" s="1547"/>
      <c r="P195" s="1547"/>
      <c r="S195" s="1547"/>
      <c r="T195" s="1547"/>
      <c r="U195" s="1547"/>
      <c r="V195" s="1547"/>
      <c r="X195" s="1547"/>
      <c r="Y195" s="1547"/>
      <c r="Z195" s="1547"/>
      <c r="AA195" s="1547"/>
      <c r="AB195" s="1547"/>
      <c r="AC195" s="1547"/>
      <c r="AD195" s="1547"/>
      <c r="AE195" s="1547"/>
      <c r="AF195" s="1547"/>
      <c r="AG195" s="1547"/>
      <c r="AH195" s="1547"/>
      <c r="AI195" s="1547"/>
      <c r="AJ195" s="1547"/>
      <c r="AK195" s="1547">
        <v>11</v>
      </c>
    </row>
    <row r="196" spans="1:37" ht="11.45" customHeight="1">
      <c r="A196" s="913"/>
      <c r="B196" s="913"/>
      <c r="C196" s="913"/>
      <c r="D196" s="913"/>
      <c r="E196" s="913"/>
      <c r="F196" s="1547"/>
      <c r="H196" s="1547"/>
      <c r="N196" s="1547"/>
      <c r="P196" s="1547"/>
      <c r="S196" s="1547"/>
      <c r="T196" s="1547"/>
      <c r="U196" s="1547"/>
      <c r="V196" s="1547"/>
      <c r="X196" s="1547"/>
      <c r="Y196" s="1547"/>
      <c r="Z196" s="1547"/>
      <c r="AA196" s="1547"/>
      <c r="AB196" s="1547"/>
      <c r="AC196" s="1547"/>
      <c r="AD196" s="1547"/>
      <c r="AE196" s="1547"/>
      <c r="AF196" s="1547"/>
      <c r="AG196" s="1547"/>
      <c r="AH196" s="1547"/>
      <c r="AI196" s="1547"/>
      <c r="AJ196" s="1547"/>
      <c r="AK196" s="1547">
        <v>11</v>
      </c>
    </row>
    <row r="197" spans="1:37" ht="11.45" customHeight="1">
      <c r="A197" s="913"/>
      <c r="B197" s="913"/>
      <c r="C197" s="913"/>
      <c r="D197" s="913"/>
      <c r="E197" s="913"/>
      <c r="F197" s="1547"/>
      <c r="H197" s="1547"/>
      <c r="N197" s="1547"/>
      <c r="P197" s="1547"/>
      <c r="S197" s="1547"/>
      <c r="T197" s="1547"/>
      <c r="U197" s="1547"/>
      <c r="V197" s="1547"/>
      <c r="X197" s="1547"/>
      <c r="Y197" s="1547"/>
      <c r="Z197" s="1547"/>
      <c r="AA197" s="1547"/>
      <c r="AB197" s="1547"/>
      <c r="AC197" s="1547"/>
      <c r="AD197" s="1547"/>
      <c r="AE197" s="1547"/>
      <c r="AF197" s="1547"/>
      <c r="AG197" s="1547"/>
      <c r="AH197" s="1547"/>
      <c r="AI197" s="1547"/>
      <c r="AJ197" s="1547"/>
      <c r="AK197" s="1547">
        <v>11</v>
      </c>
    </row>
    <row r="198" spans="1:37" ht="11.45" customHeight="1">
      <c r="A198" s="913"/>
      <c r="B198" s="913"/>
      <c r="C198" s="913"/>
      <c r="D198" s="913"/>
      <c r="E198" s="913"/>
      <c r="F198" s="1547"/>
      <c r="H198" s="1547"/>
      <c r="N198" s="1547"/>
      <c r="P198" s="1547"/>
      <c r="S198" s="1547"/>
      <c r="T198" s="1547"/>
      <c r="U198" s="1547"/>
      <c r="V198" s="1547"/>
      <c r="X198" s="1547"/>
      <c r="Y198" s="1547"/>
      <c r="Z198" s="1547"/>
      <c r="AA198" s="1547"/>
      <c r="AB198" s="1547"/>
      <c r="AC198" s="1547"/>
      <c r="AD198" s="1547"/>
      <c r="AE198" s="1547"/>
      <c r="AF198" s="1547"/>
      <c r="AG198" s="1547"/>
      <c r="AH198" s="1547"/>
      <c r="AI198" s="1547"/>
      <c r="AJ198" s="1547"/>
      <c r="AK198" s="1547">
        <v>11</v>
      </c>
    </row>
    <row r="199" spans="1:37" ht="11.45" customHeight="1">
      <c r="A199" s="913"/>
      <c r="B199" s="913"/>
      <c r="C199" s="913"/>
      <c r="D199" s="913"/>
      <c r="E199" s="913"/>
      <c r="F199" s="1547"/>
      <c r="H199" s="1547"/>
      <c r="N199" s="1547"/>
      <c r="P199" s="1547"/>
      <c r="S199" s="1547"/>
      <c r="T199" s="1547"/>
      <c r="U199" s="1547"/>
      <c r="V199" s="1547"/>
      <c r="X199" s="1547"/>
      <c r="Y199" s="1547"/>
      <c r="Z199" s="1547"/>
      <c r="AA199" s="1547"/>
      <c r="AB199" s="1547"/>
      <c r="AC199" s="1547"/>
      <c r="AD199" s="1547"/>
      <c r="AE199" s="1547"/>
      <c r="AF199" s="1547"/>
      <c r="AG199" s="1547"/>
      <c r="AH199" s="1547"/>
      <c r="AI199" s="1547"/>
      <c r="AJ199" s="1547"/>
      <c r="AK199" s="1547">
        <v>11</v>
      </c>
    </row>
    <row r="200" spans="1:37" ht="11.45" customHeight="1">
      <c r="A200" s="913"/>
      <c r="B200" s="913"/>
      <c r="C200" s="913"/>
      <c r="D200" s="913"/>
      <c r="E200" s="913"/>
      <c r="F200" s="1547"/>
      <c r="H200" s="1547"/>
      <c r="N200" s="1547"/>
      <c r="P200" s="1547"/>
      <c r="S200" s="1547"/>
      <c r="T200" s="1547"/>
      <c r="U200" s="1547"/>
      <c r="V200" s="1547"/>
      <c r="X200" s="1547"/>
      <c r="Y200" s="1547"/>
      <c r="Z200" s="1547"/>
      <c r="AA200" s="1547"/>
      <c r="AB200" s="1547"/>
      <c r="AC200" s="1547"/>
      <c r="AD200" s="1547"/>
      <c r="AE200" s="1547"/>
      <c r="AF200" s="1547"/>
      <c r="AG200" s="1547"/>
      <c r="AH200" s="1547"/>
      <c r="AI200" s="1547"/>
      <c r="AJ200" s="1547"/>
      <c r="AK200" s="1547">
        <v>11</v>
      </c>
    </row>
    <row r="201" spans="1:37" ht="11.45" customHeight="1">
      <c r="A201" s="913"/>
      <c r="B201" s="913"/>
      <c r="C201" s="913"/>
      <c r="D201" s="913"/>
      <c r="E201" s="913"/>
      <c r="F201" s="1547"/>
      <c r="H201" s="1547"/>
      <c r="N201" s="1547"/>
      <c r="P201" s="1547"/>
      <c r="S201" s="1547"/>
      <c r="T201" s="1547"/>
      <c r="U201" s="1547"/>
      <c r="V201" s="1547"/>
      <c r="X201" s="1547"/>
      <c r="Y201" s="1547"/>
      <c r="Z201" s="1547"/>
      <c r="AA201" s="1547"/>
      <c r="AB201" s="1547"/>
      <c r="AC201" s="1547"/>
      <c r="AD201" s="1547"/>
      <c r="AE201" s="1547"/>
      <c r="AF201" s="1547"/>
      <c r="AG201" s="1547"/>
      <c r="AH201" s="1547"/>
      <c r="AI201" s="1547"/>
      <c r="AJ201" s="1547"/>
      <c r="AK201" s="1547">
        <v>11</v>
      </c>
    </row>
    <row r="202" spans="1:37" ht="11.45" customHeight="1">
      <c r="A202" s="913"/>
      <c r="B202" s="913"/>
      <c r="C202" s="913"/>
      <c r="D202" s="913"/>
      <c r="E202" s="913"/>
      <c r="F202" s="1547"/>
      <c r="H202" s="1547"/>
      <c r="N202" s="1547"/>
      <c r="P202" s="1547"/>
      <c r="S202" s="1547"/>
      <c r="T202" s="1547"/>
      <c r="U202" s="1547"/>
      <c r="V202" s="1547"/>
      <c r="X202" s="1547"/>
      <c r="Y202" s="1547"/>
      <c r="Z202" s="1547"/>
      <c r="AA202" s="1547"/>
      <c r="AB202" s="1547"/>
      <c r="AC202" s="1547"/>
      <c r="AD202" s="1547"/>
      <c r="AE202" s="1547"/>
      <c r="AF202" s="1547"/>
      <c r="AG202" s="1547"/>
      <c r="AH202" s="1547"/>
      <c r="AI202" s="1547"/>
      <c r="AJ202" s="1547"/>
      <c r="AK202" s="1547">
        <v>11</v>
      </c>
    </row>
    <row r="203" spans="1:37" ht="11.45" customHeight="1">
      <c r="A203" s="913"/>
      <c r="B203" s="913"/>
      <c r="C203" s="913"/>
      <c r="D203" s="913"/>
      <c r="E203" s="913"/>
      <c r="F203" s="1547"/>
      <c r="H203" s="1547"/>
      <c r="N203" s="1547"/>
      <c r="P203" s="1547"/>
      <c r="S203" s="1547"/>
      <c r="T203" s="1547"/>
      <c r="U203" s="1547"/>
      <c r="V203" s="1547"/>
      <c r="X203" s="1547"/>
      <c r="Y203" s="1547"/>
      <c r="Z203" s="1547"/>
      <c r="AA203" s="1547"/>
      <c r="AB203" s="1547"/>
      <c r="AC203" s="1547"/>
      <c r="AD203" s="1547"/>
      <c r="AE203" s="1547"/>
      <c r="AF203" s="1547"/>
      <c r="AG203" s="1547"/>
      <c r="AH203" s="1547"/>
      <c r="AI203" s="1547"/>
      <c r="AJ203" s="1547"/>
      <c r="AK203" s="1547">
        <v>11</v>
      </c>
    </row>
    <row r="204" spans="1:37" ht="12.75" hidden="1" customHeight="1">
      <c r="A204" s="910" t="s">
        <v>82</v>
      </c>
      <c r="B204" s="910" t="s">
        <v>150</v>
      </c>
      <c r="C204" s="910" t="s">
        <v>150</v>
      </c>
      <c r="D204" s="910" t="s">
        <v>150</v>
      </c>
      <c r="E204" s="910" t="s">
        <v>150</v>
      </c>
      <c r="F204" s="1551">
        <v>16</v>
      </c>
      <c r="G204" s="1552">
        <v>0</v>
      </c>
      <c r="H204" s="1551">
        <v>3</v>
      </c>
      <c r="I204" s="1547">
        <v>7</v>
      </c>
      <c r="J204" s="1547">
        <v>56</v>
      </c>
      <c r="K204" s="1547">
        <v>10</v>
      </c>
      <c r="L204" s="1547">
        <v>40</v>
      </c>
      <c r="M204" s="1547">
        <v>40</v>
      </c>
      <c r="N204" s="1282">
        <v>9</v>
      </c>
      <c r="O204" s="1547">
        <v>102</v>
      </c>
      <c r="P204" s="1282">
        <v>9</v>
      </c>
      <c r="Q204" s="1552">
        <v>5</v>
      </c>
      <c r="R204" s="1552">
        <v>3</v>
      </c>
      <c r="S204" s="1282">
        <v>3</v>
      </c>
      <c r="T204" s="1282">
        <v>3</v>
      </c>
      <c r="U204" s="1282">
        <v>3</v>
      </c>
      <c r="V204" s="1282">
        <v>3</v>
      </c>
      <c r="W204" s="1552">
        <v>10</v>
      </c>
      <c r="X204" s="1282">
        <v>34</v>
      </c>
      <c r="Y204" s="1282">
        <v>9</v>
      </c>
      <c r="Z204" s="480">
        <v>8</v>
      </c>
      <c r="AA204" s="1282">
        <v>8</v>
      </c>
      <c r="AB204" s="1282">
        <v>8</v>
      </c>
      <c r="AC204" s="1282">
        <v>8</v>
      </c>
      <c r="AD204" s="1282">
        <v>8</v>
      </c>
      <c r="AE204" s="1282">
        <v>8</v>
      </c>
      <c r="AF204" s="1548">
        <v>8</v>
      </c>
      <c r="AG204" s="1548">
        <v>8</v>
      </c>
      <c r="AH204" s="1548">
        <v>8</v>
      </c>
      <c r="AI204" s="1548">
        <v>8</v>
      </c>
      <c r="AJ204" s="1548">
        <v>8</v>
      </c>
      <c r="AK204" s="154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360" hidden="1"/>
    <col min="5" max="5" width="9.140625" style="2392" hidden="1" customWidth="1"/>
    <col min="6" max="7" width="9.140625" style="2357" hidden="1" customWidth="1"/>
    <col min="8" max="8" width="3" style="2359" customWidth="1"/>
    <col min="9" max="9" width="6" style="2360" customWidth="1"/>
    <col min="10" max="10" width="63" style="2360" customWidth="1"/>
    <col min="11" max="11" width="9" style="2360" customWidth="1"/>
    <col min="12" max="12" width="39" style="2360" customWidth="1"/>
    <col min="13" max="13" width="89" style="2360" customWidth="1"/>
    <col min="14" max="14" width="10" style="2360" customWidth="1"/>
    <col min="15" max="16" width="10" style="2358" customWidth="1"/>
    <col min="17" max="22" width="10" style="2360" customWidth="1"/>
    <col min="23" max="23" width="10.5703125" style="2360" hidden="1"/>
  </cols>
  <sheetData>
    <row r="1" spans="1:23" ht="22.5" hidden="1" customHeight="1">
      <c r="S1" s="192"/>
      <c r="T1" s="192"/>
      <c r="V1" s="192"/>
      <c r="W1" s="1547" t="s">
        <v>14</v>
      </c>
    </row>
    <row r="2" spans="1:23" ht="22.5" hidden="1" customHeight="1">
      <c r="B2" s="1962" t="s">
        <v>774</v>
      </c>
      <c r="C2" s="1962" t="s">
        <v>775</v>
      </c>
      <c r="D2" s="1961" t="s">
        <v>714</v>
      </c>
      <c r="E2" s="1967">
        <f>I2-3</f>
        <v>-3</v>
      </c>
      <c r="F2" s="1967">
        <f>J2</f>
        <v>0</v>
      </c>
      <c r="H2" s="1645" t="s">
        <v>568</v>
      </c>
      <c r="I2" s="1933"/>
      <c r="J2" s="1598"/>
      <c r="K2" s="1927" t="s">
        <v>305</v>
      </c>
      <c r="L2" s="1080"/>
      <c r="M2" s="234"/>
      <c r="N2" s="1540"/>
      <c r="P2" s="1547"/>
      <c r="W2" s="1547">
        <v>0</v>
      </c>
    </row>
    <row r="3" spans="1:23" ht="14.25" hidden="1" customHeight="1">
      <c r="W3" s="1547">
        <v>0</v>
      </c>
    </row>
    <row r="4" spans="1:23" ht="6.4" customHeight="1">
      <c r="H4" s="312"/>
      <c r="I4" s="393"/>
      <c r="J4" s="393"/>
      <c r="K4" s="393"/>
      <c r="L4" s="25"/>
      <c r="M4" s="25"/>
      <c r="W4" s="1547">
        <v>6</v>
      </c>
    </row>
    <row r="5" spans="1:23" ht="50.25" customHeight="1">
      <c r="H5" s="312"/>
      <c r="I5" s="2544" t="s">
        <v>776</v>
      </c>
      <c r="J5" s="2544"/>
      <c r="K5" s="2544"/>
      <c r="L5" s="2544"/>
      <c r="M5" s="203"/>
      <c r="W5" s="1547">
        <v>48</v>
      </c>
    </row>
    <row r="6" spans="1:23" ht="18" customHeight="1">
      <c r="H6" s="312"/>
      <c r="I6" s="2516" t="str">
        <f>IF(org=0,"Не определено",org)</f>
        <v>ООО "Пятигорсктеплосервис"</v>
      </c>
      <c r="J6" s="2516"/>
      <c r="K6" s="2516"/>
      <c r="L6" s="2516"/>
      <c r="M6" s="203"/>
      <c r="W6" s="1547">
        <v>17</v>
      </c>
    </row>
    <row r="7" spans="1:23" ht="14.65" customHeight="1">
      <c r="H7" s="312"/>
      <c r="I7" s="393"/>
      <c r="J7" s="399"/>
      <c r="K7" s="399"/>
      <c r="L7" s="688"/>
      <c r="M7" s="130"/>
      <c r="W7" s="1547">
        <v>14</v>
      </c>
    </row>
    <row r="8" spans="1:23" ht="14.65" customHeight="1">
      <c r="H8" s="312"/>
      <c r="I8" s="2662" t="s">
        <v>299</v>
      </c>
      <c r="J8" s="2663"/>
      <c r="K8" s="2663"/>
      <c r="L8" s="2664"/>
      <c r="M8" s="2665" t="s">
        <v>300</v>
      </c>
      <c r="W8" s="1547">
        <v>14</v>
      </c>
    </row>
    <row r="9" spans="1:23" ht="35.65" customHeight="1">
      <c r="E9" s="1960" t="s">
        <v>705</v>
      </c>
      <c r="F9" s="1960" t="s">
        <v>711</v>
      </c>
      <c r="H9" s="312"/>
      <c r="I9" s="1934" t="s">
        <v>88</v>
      </c>
      <c r="J9" s="1935" t="s">
        <v>301</v>
      </c>
      <c r="K9" s="1973" t="s">
        <v>565</v>
      </c>
      <c r="L9" s="1974" t="s">
        <v>302</v>
      </c>
      <c r="M9" s="2665"/>
      <c r="W9" s="1547">
        <v>34</v>
      </c>
    </row>
    <row r="10" spans="1:23" ht="35.65" customHeight="1">
      <c r="B10" s="1962" t="s">
        <v>777</v>
      </c>
      <c r="C10" s="1962" t="s">
        <v>778</v>
      </c>
      <c r="D10" s="1961" t="s">
        <v>714</v>
      </c>
      <c r="E10" s="1965" t="s">
        <v>715</v>
      </c>
      <c r="F10" s="1965" t="s">
        <v>715</v>
      </c>
      <c r="H10" s="312"/>
      <c r="I10" s="1933" t="s">
        <v>109</v>
      </c>
      <c r="J10" s="1798" t="s">
        <v>779</v>
      </c>
      <c r="K10" s="1927" t="s">
        <v>305</v>
      </c>
      <c r="L10" s="748"/>
      <c r="M10" s="234" t="s">
        <v>780</v>
      </c>
      <c r="W10" s="1547">
        <v>34</v>
      </c>
    </row>
    <row r="11" spans="1:23" ht="50.25" customHeight="1">
      <c r="B11" s="1962" t="s">
        <v>781</v>
      </c>
      <c r="C11" s="1962" t="s">
        <v>782</v>
      </c>
      <c r="D11" s="1961" t="s">
        <v>714</v>
      </c>
      <c r="E11" s="1965" t="s">
        <v>715</v>
      </c>
      <c r="F11" s="1965" t="s">
        <v>715</v>
      </c>
      <c r="H11" s="312"/>
      <c r="I11" s="1933" t="s">
        <v>110</v>
      </c>
      <c r="J11" s="1798" t="s">
        <v>783</v>
      </c>
      <c r="K11" s="1927" t="s">
        <v>305</v>
      </c>
      <c r="L11" s="748"/>
      <c r="M11" s="234" t="s">
        <v>780</v>
      </c>
      <c r="W11" s="1547">
        <v>48</v>
      </c>
    </row>
    <row r="12" spans="1:23" ht="48.2" customHeight="1">
      <c r="B12" s="1962" t="s">
        <v>784</v>
      </c>
      <c r="C12" s="1962" t="s">
        <v>785</v>
      </c>
      <c r="D12" s="1961" t="s">
        <v>714</v>
      </c>
      <c r="E12" s="1965" t="s">
        <v>715</v>
      </c>
      <c r="F12" s="1965" t="s">
        <v>715</v>
      </c>
      <c r="H12" s="1604"/>
      <c r="I12" s="1933" t="s">
        <v>90</v>
      </c>
      <c r="J12" s="1940" t="s">
        <v>786</v>
      </c>
      <c r="K12" s="1927" t="s">
        <v>305</v>
      </c>
      <c r="L12" s="748"/>
      <c r="M12" s="234" t="s">
        <v>787</v>
      </c>
      <c r="N12" s="1540"/>
      <c r="P12" s="1547"/>
      <c r="W12" s="1547">
        <v>46</v>
      </c>
    </row>
    <row r="13" spans="1:23" ht="14.65" customHeight="1">
      <c r="E13" s="280"/>
      <c r="H13" s="312"/>
      <c r="I13" s="284"/>
      <c r="J13" s="587" t="s">
        <v>788</v>
      </c>
      <c r="K13" s="507"/>
      <c r="L13" s="151"/>
      <c r="M13" s="234"/>
      <c r="W13" s="1547">
        <v>14</v>
      </c>
    </row>
    <row r="14" spans="1:23" ht="14.65" customHeight="1">
      <c r="E14" s="280"/>
      <c r="H14" s="312"/>
      <c r="I14" s="978"/>
      <c r="J14" s="1593"/>
      <c r="K14" s="1594"/>
      <c r="L14" s="1595"/>
      <c r="M14" s="1937"/>
      <c r="W14" s="1547">
        <v>14</v>
      </c>
    </row>
    <row r="15" spans="1:23" ht="14.65" customHeight="1">
      <c r="I15" s="1597"/>
      <c r="J15" s="2562"/>
      <c r="K15" s="2562"/>
      <c r="L15" s="2562"/>
      <c r="M15" s="2562"/>
      <c r="W15" s="1547">
        <v>14</v>
      </c>
    </row>
    <row r="16" spans="1:23" ht="21" hidden="1" customHeight="1">
      <c r="A16" s="1939" t="s">
        <v>82</v>
      </c>
      <c r="B16" s="1547">
        <v>9</v>
      </c>
      <c r="C16" s="1547">
        <v>9</v>
      </c>
      <c r="D16" s="1547">
        <v>9</v>
      </c>
      <c r="E16" s="1939" t="s">
        <v>149</v>
      </c>
      <c r="F16" s="1964" t="s">
        <v>149</v>
      </c>
      <c r="G16" s="1966"/>
      <c r="H16" s="281">
        <v>3</v>
      </c>
      <c r="I16" s="1547">
        <v>6</v>
      </c>
      <c r="J16" s="1547">
        <v>63</v>
      </c>
      <c r="K16" s="1547">
        <v>9</v>
      </c>
      <c r="L16" s="1547">
        <v>39</v>
      </c>
      <c r="M16" s="1547">
        <v>89</v>
      </c>
      <c r="N16" s="1547">
        <v>10</v>
      </c>
      <c r="O16" s="1540">
        <v>10</v>
      </c>
      <c r="P16" s="1540">
        <v>10</v>
      </c>
      <c r="Q16" s="1547">
        <v>10</v>
      </c>
      <c r="R16" s="1547">
        <v>10</v>
      </c>
      <c r="S16" s="1547">
        <v>10</v>
      </c>
      <c r="T16" s="1547">
        <v>10</v>
      </c>
      <c r="U16" s="1547">
        <v>10</v>
      </c>
      <c r="V16" s="1547">
        <v>10</v>
      </c>
      <c r="W16" s="154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343" hidden="1" customWidth="1"/>
    <col min="2" max="2" width="16.85546875" style="2357" hidden="1" customWidth="1"/>
    <col min="3" max="3" width="5.5703125" style="2344" hidden="1" customWidth="1"/>
    <col min="4" max="4" width="3" style="2360" customWidth="1"/>
    <col min="5" max="5" width="7" style="2360" customWidth="1"/>
    <col min="6" max="6" width="56" style="2360" customWidth="1"/>
    <col min="7" max="7" width="10" style="2360" customWidth="1"/>
    <col min="8" max="8" width="40.7109375" style="2360" hidden="1" customWidth="1"/>
    <col min="9" max="9" width="40" style="2360" customWidth="1"/>
    <col min="10" max="10" width="102" style="2360" customWidth="1"/>
    <col min="11" max="11" width="9" style="2357" customWidth="1"/>
    <col min="12" max="12" width="5" style="2344" customWidth="1"/>
    <col min="13" max="13" width="3" style="2344" customWidth="1"/>
    <col min="14" max="17" width="3" style="2357" customWidth="1"/>
    <col min="18" max="18" width="10" style="2344" customWidth="1"/>
    <col min="19" max="19" width="34" style="2357" customWidth="1"/>
    <col min="20" max="20" width="9" style="2357" customWidth="1"/>
    <col min="21" max="21" width="8" style="2345" customWidth="1"/>
    <col min="22" max="26" width="8" style="2357" customWidth="1"/>
    <col min="27" max="31" width="8" style="2370" customWidth="1"/>
    <col min="32" max="32" width="10.42578125" style="2360" hidden="1" customWidth="1"/>
  </cols>
  <sheetData>
    <row r="1" spans="1:32" s="2357" customFormat="1" ht="22.5" hidden="1" customHeight="1">
      <c r="A1" s="910"/>
      <c r="C1" s="1552"/>
      <c r="D1" s="473"/>
      <c r="H1" s="1076">
        <v>4</v>
      </c>
      <c r="I1" s="1076">
        <v>4</v>
      </c>
      <c r="L1" s="1552"/>
      <c r="M1" s="1552"/>
      <c r="R1" s="1552"/>
      <c r="AF1" s="1076" t="s">
        <v>14</v>
      </c>
    </row>
    <row r="2" spans="1:32" s="2357" customFormat="1" ht="22.5" hidden="1" customHeight="1">
      <c r="A2" s="910"/>
      <c r="C2" s="1552"/>
      <c r="D2" s="474"/>
      <c r="E2" s="1553"/>
      <c r="F2" s="476"/>
      <c r="G2" s="1555" t="s">
        <v>551</v>
      </c>
      <c r="H2" s="477"/>
      <c r="I2" s="477"/>
      <c r="J2" s="478" t="s">
        <v>789</v>
      </c>
      <c r="K2" s="479"/>
      <c r="L2" s="1552"/>
      <c r="M2" s="1552"/>
      <c r="R2" s="1552"/>
      <c r="U2" s="480"/>
      <c r="AA2" s="1548"/>
      <c r="AB2" s="1548"/>
      <c r="AC2" s="1548"/>
      <c r="AD2" s="1548"/>
      <c r="AE2" s="1548"/>
      <c r="AF2" s="1076">
        <v>0</v>
      </c>
    </row>
    <row r="3" spans="1:32" ht="11.25" hidden="1" customHeight="1">
      <c r="AF3" s="1547">
        <v>0</v>
      </c>
    </row>
    <row r="4" spans="1:32" s="2370" customFormat="1" ht="11.25" hidden="1" customHeight="1">
      <c r="A4" s="910"/>
      <c r="B4" s="1076"/>
      <c r="C4" s="1552"/>
      <c r="D4" s="298"/>
      <c r="J4" s="1548">
        <v>4</v>
      </c>
      <c r="K4" s="1076"/>
      <c r="L4" s="1552"/>
      <c r="M4" s="1552"/>
      <c r="N4" s="1076"/>
      <c r="O4" s="1076"/>
      <c r="P4" s="1076"/>
      <c r="Q4" s="1076"/>
      <c r="R4" s="1552"/>
      <c r="S4" s="1076"/>
      <c r="T4" s="1076"/>
      <c r="U4" s="480"/>
      <c r="V4" s="1076"/>
      <c r="W4" s="1076"/>
      <c r="X4" s="1076"/>
      <c r="Y4" s="1076"/>
      <c r="Z4" s="1076"/>
      <c r="AF4" s="1548">
        <v>0</v>
      </c>
    </row>
    <row r="5" spans="1:32" ht="11.45" customHeight="1">
      <c r="AF5" s="1547">
        <v>11</v>
      </c>
    </row>
    <row r="6" spans="1:32" ht="31.5" customHeight="1">
      <c r="E6" s="2493" t="s">
        <v>790</v>
      </c>
      <c r="F6" s="2493"/>
      <c r="G6" s="2493"/>
      <c r="H6" s="2493"/>
      <c r="I6" s="2493"/>
      <c r="J6" s="492"/>
      <c r="AF6" s="1547">
        <v>30</v>
      </c>
    </row>
    <row r="7" spans="1:32" ht="11.45" customHeight="1">
      <c r="E7" s="2516" t="str">
        <f>IF(org=0,"Не определено",org)</f>
        <v>ООО "Пятигорсктеплосервис"</v>
      </c>
      <c r="F7" s="2516"/>
      <c r="G7" s="2516"/>
      <c r="H7" s="2516"/>
      <c r="I7" s="2516"/>
      <c r="AF7" s="1547">
        <v>11</v>
      </c>
    </row>
    <row r="8" spans="1:32" ht="11.45" customHeight="1">
      <c r="E8" s="1052"/>
      <c r="F8" s="1052"/>
      <c r="G8" s="1052"/>
      <c r="H8" s="1052"/>
      <c r="I8" s="1052"/>
      <c r="AF8" s="1547">
        <v>11</v>
      </c>
    </row>
    <row r="9" spans="1:32" s="2344" customFormat="1" ht="4.1500000000000004" customHeight="1">
      <c r="A9" s="1083"/>
      <c r="D9" s="1558"/>
      <c r="H9" s="814"/>
      <c r="I9" s="814" t="s">
        <v>117</v>
      </c>
      <c r="AF9" s="1552">
        <v>4</v>
      </c>
    </row>
    <row r="10" spans="1:32" ht="11.45" customHeight="1">
      <c r="E10" s="647"/>
      <c r="F10" s="2658" t="s">
        <v>105</v>
      </c>
      <c r="G10" s="2659"/>
      <c r="H10" s="1468" t="str">
        <f>IF(H9="","",INDEX(DIFFERENTIATION_UNMERGE_VD,MATCH(H9,DIFFERENTIATION_ID_DIFF,0)))</f>
        <v/>
      </c>
      <c r="I10" s="1468" t="str">
        <f>IF(I9="","",INDEX(DIFFERENTIATION_UNMERGE_VD,MATCH(I9,DIFFERENTIATION_ID_DIFF,0)))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435" t="s">
        <v>300</v>
      </c>
      <c r="AF10" s="1547">
        <v>11</v>
      </c>
    </row>
    <row r="11" spans="1:32" ht="11.45" customHeight="1">
      <c r="E11" s="647"/>
      <c r="F11" s="2658" t="s">
        <v>563</v>
      </c>
      <c r="G11" s="2659"/>
      <c r="H11" s="1468" t="str">
        <f>IF(H9="","",INDEX(DIFFERENTIATION_UNMERGE_AREA,MATCH(H9,DIFFERENTIATION_ID_DIFF,0)))</f>
        <v/>
      </c>
      <c r="I11" s="1468" t="str">
        <f>IF(I9="","",INDEX(DIFFERENTIATION_UNMERGE_AREA,MATCH(I9,DIFFERENTIATION_ID_DIFF,0)))</f>
        <v>без дифференциации</v>
      </c>
      <c r="J11" s="2435"/>
      <c r="AF11" s="1547">
        <v>11</v>
      </c>
    </row>
    <row r="12" spans="1:32" ht="1.1499999999999999" customHeight="1">
      <c r="E12" s="1578"/>
      <c r="F12" s="2666" t="s">
        <v>564</v>
      </c>
      <c r="G12" s="2667"/>
      <c r="H12" s="1579" t="str">
        <f>IF(H9="","",INDEX(DIFFERENTIATION_UNMERGE_SYSTEM,MATCH(H9,DIFFERENTIATION_ID_DIFF,0)))</f>
        <v/>
      </c>
      <c r="I12" s="1579" t="str">
        <f>IF(I9="","",INDEX(DIFFERENTIATION_UNMERGE_SYSTEM,MATCH(I9,DIFFERENTIATION_ID_DIFF,0)))</f>
        <v>без дифференциации</v>
      </c>
      <c r="J12" s="2435"/>
      <c r="AF12" s="1547">
        <v>1</v>
      </c>
    </row>
    <row r="13" spans="1:32" ht="11.45" customHeight="1">
      <c r="E13" s="2660" t="s">
        <v>299</v>
      </c>
      <c r="F13" s="2661"/>
      <c r="G13" s="2661"/>
      <c r="H13" s="1467"/>
      <c r="I13" s="1467"/>
      <c r="J13" s="2435"/>
      <c r="AF13" s="1547">
        <v>11</v>
      </c>
    </row>
    <row r="14" spans="1:32" ht="24" customHeight="1">
      <c r="E14" s="1555" t="s">
        <v>88</v>
      </c>
      <c r="F14" s="1550" t="s">
        <v>301</v>
      </c>
      <c r="G14" s="1550" t="s">
        <v>565</v>
      </c>
      <c r="H14" s="1550" t="s">
        <v>302</v>
      </c>
      <c r="I14" s="1550" t="s">
        <v>302</v>
      </c>
      <c r="J14" s="2435"/>
      <c r="AF14" s="1547">
        <v>23</v>
      </c>
    </row>
    <row r="15" spans="1:32" ht="19.899999999999999" customHeight="1">
      <c r="D15" s="1554"/>
      <c r="E15" s="1546" t="s">
        <v>109</v>
      </c>
      <c r="F15" s="643" t="s">
        <v>791</v>
      </c>
      <c r="G15" s="1562" t="s">
        <v>551</v>
      </c>
      <c r="H15" s="493"/>
      <c r="I15" s="493"/>
      <c r="J15" s="226" t="s">
        <v>792</v>
      </c>
      <c r="K15" s="479" t="s">
        <v>717</v>
      </c>
      <c r="AF15" s="1547">
        <v>19</v>
      </c>
    </row>
    <row r="16" spans="1:32" ht="35.65" customHeight="1">
      <c r="D16" s="1554"/>
      <c r="E16" s="1546" t="s">
        <v>110</v>
      </c>
      <c r="F16" s="643" t="s">
        <v>793</v>
      </c>
      <c r="G16" s="1562" t="s">
        <v>551</v>
      </c>
      <c r="H16" s="494">
        <f>SUM(H17,H20,H23,H26,H29:H32,H35)</f>
        <v>0</v>
      </c>
      <c r="I16" s="494">
        <f>SUM(I17,I20,I23,I26,I29:I32,I35)</f>
        <v>0</v>
      </c>
      <c r="J16" s="226" t="s">
        <v>794</v>
      </c>
      <c r="K16" s="479" t="s">
        <v>717</v>
      </c>
      <c r="AF16" s="1547">
        <v>34</v>
      </c>
    </row>
    <row r="17" spans="1:32" ht="19.899999999999999" customHeight="1">
      <c r="D17" s="1554"/>
      <c r="E17" s="1580" t="s">
        <v>795</v>
      </c>
      <c r="F17" s="879" t="s">
        <v>796</v>
      </c>
      <c r="G17" s="1559" t="s">
        <v>551</v>
      </c>
      <c r="H17" s="493"/>
      <c r="I17" s="493"/>
      <c r="J17" s="226" t="s">
        <v>797</v>
      </c>
      <c r="K17" s="479"/>
      <c r="AF17" s="1547">
        <v>19</v>
      </c>
    </row>
    <row r="18" spans="1:32" ht="24" customHeight="1">
      <c r="D18" s="1554"/>
      <c r="E18" s="1580" t="s">
        <v>798</v>
      </c>
      <c r="F18" s="1566" t="s">
        <v>799</v>
      </c>
      <c r="G18" s="1559" t="s">
        <v>551</v>
      </c>
      <c r="H18" s="493"/>
      <c r="I18" s="493"/>
      <c r="J18" s="226" t="s">
        <v>800</v>
      </c>
      <c r="K18" s="479"/>
      <c r="AF18" s="1547">
        <v>23</v>
      </c>
    </row>
    <row r="19" spans="1:32" ht="35.65" customHeight="1">
      <c r="D19" s="1554"/>
      <c r="E19" s="1580" t="s">
        <v>801</v>
      </c>
      <c r="F19" s="1566" t="s">
        <v>802</v>
      </c>
      <c r="G19" s="1559" t="s">
        <v>551</v>
      </c>
      <c r="H19" s="493"/>
      <c r="I19" s="493"/>
      <c r="J19" s="226"/>
      <c r="K19" s="479"/>
      <c r="AF19" s="1547">
        <v>34</v>
      </c>
    </row>
    <row r="20" spans="1:32" ht="19.899999999999999" customHeight="1">
      <c r="D20" s="1554"/>
      <c r="E20" s="1580" t="s">
        <v>306</v>
      </c>
      <c r="F20" s="879" t="s">
        <v>803</v>
      </c>
      <c r="G20" s="1559" t="s">
        <v>551</v>
      </c>
      <c r="H20" s="493"/>
      <c r="I20" s="493"/>
      <c r="J20" s="226" t="s">
        <v>804</v>
      </c>
      <c r="K20" s="479"/>
      <c r="AF20" s="1547">
        <v>19</v>
      </c>
    </row>
    <row r="21" spans="1:32" ht="19.899999999999999" customHeight="1">
      <c r="D21" s="1554"/>
      <c r="E21" s="1580" t="s">
        <v>805</v>
      </c>
      <c r="F21" s="1566" t="s">
        <v>806</v>
      </c>
      <c r="G21" s="1559" t="s">
        <v>551</v>
      </c>
      <c r="H21" s="493"/>
      <c r="I21" s="493"/>
      <c r="J21" s="226"/>
      <c r="K21" s="479"/>
      <c r="AF21" s="1547">
        <v>19</v>
      </c>
    </row>
    <row r="22" spans="1:32" ht="19.899999999999999" customHeight="1">
      <c r="D22" s="1554"/>
      <c r="E22" s="1580" t="s">
        <v>807</v>
      </c>
      <c r="F22" s="1566" t="s">
        <v>808</v>
      </c>
      <c r="G22" s="1559" t="s">
        <v>551</v>
      </c>
      <c r="H22" s="493"/>
      <c r="I22" s="493"/>
      <c r="J22" s="226"/>
      <c r="K22" s="479"/>
      <c r="AF22" s="1547">
        <v>19</v>
      </c>
    </row>
    <row r="23" spans="1:32" ht="24" customHeight="1">
      <c r="D23" s="1554"/>
      <c r="E23" s="1580" t="s">
        <v>309</v>
      </c>
      <c r="F23" s="879" t="s">
        <v>809</v>
      </c>
      <c r="G23" s="1559" t="s">
        <v>551</v>
      </c>
      <c r="H23" s="493"/>
      <c r="I23" s="493"/>
      <c r="J23" s="226" t="s">
        <v>810</v>
      </c>
      <c r="K23" s="479"/>
      <c r="AF23" s="1547">
        <v>23</v>
      </c>
    </row>
    <row r="24" spans="1:32" ht="19.899999999999999" customHeight="1">
      <c r="D24" s="1554"/>
      <c r="E24" s="1580" t="s">
        <v>811</v>
      </c>
      <c r="F24" s="1566" t="s">
        <v>812</v>
      </c>
      <c r="G24" s="1559" t="s">
        <v>551</v>
      </c>
      <c r="H24" s="493"/>
      <c r="I24" s="493"/>
      <c r="J24" s="226"/>
      <c r="K24" s="479"/>
      <c r="AF24" s="1547">
        <v>19</v>
      </c>
    </row>
    <row r="25" spans="1:32" ht="35.65" customHeight="1">
      <c r="D25" s="1554"/>
      <c r="E25" s="1580" t="s">
        <v>813</v>
      </c>
      <c r="F25" s="1566" t="s">
        <v>814</v>
      </c>
      <c r="G25" s="1559" t="s">
        <v>551</v>
      </c>
      <c r="H25" s="493"/>
      <c r="I25" s="493"/>
      <c r="J25" s="226"/>
      <c r="K25" s="479"/>
      <c r="AF25" s="1547">
        <v>34</v>
      </c>
    </row>
    <row r="26" spans="1:32" ht="24" customHeight="1">
      <c r="D26" s="1554"/>
      <c r="E26" s="1580" t="s">
        <v>815</v>
      </c>
      <c r="F26" s="879" t="s">
        <v>816</v>
      </c>
      <c r="G26" s="1559" t="s">
        <v>551</v>
      </c>
      <c r="H26" s="493"/>
      <c r="I26" s="493"/>
      <c r="J26" s="226" t="s">
        <v>817</v>
      </c>
      <c r="K26" s="479"/>
      <c r="AF26" s="1547">
        <v>23</v>
      </c>
    </row>
    <row r="27" spans="1:32" ht="19.899999999999999" customHeight="1">
      <c r="D27" s="1554"/>
      <c r="E27" s="1591" t="s">
        <v>818</v>
      </c>
      <c r="F27" s="1566" t="s">
        <v>819</v>
      </c>
      <c r="G27" s="1570" t="s">
        <v>551</v>
      </c>
      <c r="H27" s="1592"/>
      <c r="I27" s="1592"/>
      <c r="J27" s="226"/>
      <c r="K27" s="479"/>
      <c r="AF27" s="1547">
        <v>19</v>
      </c>
    </row>
    <row r="28" spans="1:32" ht="19.899999999999999" customHeight="1">
      <c r="D28" s="1554"/>
      <c r="E28" s="1591" t="s">
        <v>820</v>
      </c>
      <c r="F28" s="1566" t="s">
        <v>821</v>
      </c>
      <c r="G28" s="1570" t="s">
        <v>551</v>
      </c>
      <c r="H28" s="1592"/>
      <c r="I28" s="1592"/>
      <c r="J28" s="226"/>
      <c r="K28" s="479"/>
      <c r="AF28" s="1547">
        <v>19</v>
      </c>
    </row>
    <row r="29" spans="1:32" ht="19.899999999999999" customHeight="1">
      <c r="D29" s="1554"/>
      <c r="E29" s="1591" t="s">
        <v>822</v>
      </c>
      <c r="F29" s="879" t="s">
        <v>823</v>
      </c>
      <c r="G29" s="1570" t="s">
        <v>551</v>
      </c>
      <c r="H29" s="1592"/>
      <c r="I29" s="1592"/>
      <c r="J29" s="226"/>
      <c r="K29" s="479"/>
      <c r="AF29" s="1547">
        <v>19</v>
      </c>
    </row>
    <row r="30" spans="1:32" ht="19.899999999999999" customHeight="1">
      <c r="D30" s="1554"/>
      <c r="E30" s="1591" t="s">
        <v>824</v>
      </c>
      <c r="F30" s="879" t="s">
        <v>825</v>
      </c>
      <c r="G30" s="1570" t="s">
        <v>551</v>
      </c>
      <c r="H30" s="1592"/>
      <c r="I30" s="1592"/>
      <c r="J30" s="226"/>
      <c r="K30" s="479"/>
      <c r="AF30" s="1547">
        <v>19</v>
      </c>
    </row>
    <row r="31" spans="1:32" ht="19.899999999999999" customHeight="1">
      <c r="D31" s="1554"/>
      <c r="E31" s="1591" t="s">
        <v>826</v>
      </c>
      <c r="F31" s="879" t="s">
        <v>827</v>
      </c>
      <c r="G31" s="1570" t="s">
        <v>551</v>
      </c>
      <c r="H31" s="1592"/>
      <c r="I31" s="1592"/>
      <c r="J31" s="226"/>
      <c r="K31" s="479"/>
      <c r="AF31" s="1547">
        <v>19</v>
      </c>
    </row>
    <row r="32" spans="1:32" s="2357" customFormat="1" ht="35.65" customHeight="1">
      <c r="A32" s="910"/>
      <c r="C32" s="1552"/>
      <c r="D32" s="1554"/>
      <c r="E32" s="1591" t="s">
        <v>828</v>
      </c>
      <c r="F32" s="879" t="s">
        <v>829</v>
      </c>
      <c r="G32" s="1560" t="s">
        <v>551</v>
      </c>
      <c r="H32" s="515">
        <f>SUM(H33:H34)</f>
        <v>0</v>
      </c>
      <c r="I32" s="515">
        <f>SUM(I33:I34)</f>
        <v>0</v>
      </c>
      <c r="J32" s="226" t="s">
        <v>830</v>
      </c>
      <c r="K32" s="479"/>
      <c r="L32" s="1552"/>
      <c r="M32" s="1552"/>
      <c r="R32" s="1552"/>
      <c r="U32" s="480"/>
      <c r="AA32" s="1548"/>
      <c r="AB32" s="1548"/>
      <c r="AC32" s="1548"/>
      <c r="AD32" s="1548"/>
      <c r="AE32" s="1548"/>
      <c r="AF32" s="1076">
        <v>34</v>
      </c>
    </row>
    <row r="33" spans="1:32" s="2344" customFormat="1" ht="1.1499999999999999" customHeight="1">
      <c r="A33" s="1083"/>
      <c r="D33" s="484"/>
      <c r="E33" s="732" t="str">
        <f>E32&amp;".0"</f>
        <v>2.8.0</v>
      </c>
      <c r="F33" s="914"/>
      <c r="G33" s="487"/>
      <c r="H33" s="915"/>
      <c r="I33" s="915"/>
      <c r="J33" s="916"/>
      <c r="AF33" s="1552">
        <v>1</v>
      </c>
    </row>
    <row r="34" spans="1:32" s="2357" customFormat="1" ht="19.899999999999999" customHeight="1">
      <c r="A34" s="910"/>
      <c r="C34" s="1552"/>
      <c r="D34" s="1549"/>
      <c r="E34" s="506"/>
      <c r="F34" s="1582" t="s">
        <v>584</v>
      </c>
      <c r="G34" s="508"/>
      <c r="H34" s="509"/>
      <c r="I34" s="509"/>
      <c r="J34" s="238" t="s">
        <v>831</v>
      </c>
      <c r="K34" s="479"/>
      <c r="L34" s="1552"/>
      <c r="M34" s="1552"/>
      <c r="R34" s="1552"/>
      <c r="U34" s="480"/>
      <c r="AA34" s="1548"/>
      <c r="AB34" s="1548"/>
      <c r="AC34" s="1548"/>
      <c r="AD34" s="1548"/>
      <c r="AE34" s="1548"/>
      <c r="AF34" s="1076">
        <v>19</v>
      </c>
    </row>
    <row r="35" spans="1:32" ht="60" customHeight="1">
      <c r="D35" s="1554"/>
      <c r="E35" s="1591" t="s">
        <v>832</v>
      </c>
      <c r="F35" s="879" t="s">
        <v>833</v>
      </c>
      <c r="G35" s="1570" t="s">
        <v>551</v>
      </c>
      <c r="H35" s="2280" t="s">
        <v>22</v>
      </c>
      <c r="I35" s="2280" t="s">
        <v>22</v>
      </c>
      <c r="J35" s="226" t="s">
        <v>834</v>
      </c>
      <c r="K35" s="479"/>
      <c r="AF35" s="1547">
        <v>57</v>
      </c>
    </row>
    <row r="36" spans="1:32" s="2398" customFormat="1" ht="19.899999999999999" customHeight="1">
      <c r="A36" s="2281"/>
      <c r="B36" s="2282"/>
      <c r="C36" s="2283"/>
      <c r="D36" s="2284"/>
      <c r="E36" s="2285" t="s">
        <v>835</v>
      </c>
      <c r="F36" s="2286" t="s">
        <v>836</v>
      </c>
      <c r="G36" s="2287" t="s">
        <v>551</v>
      </c>
      <c r="H36" s="2288" t="s">
        <v>22</v>
      </c>
      <c r="I36" s="2288" t="s">
        <v>22</v>
      </c>
      <c r="J36" s="2289" t="s">
        <v>837</v>
      </c>
      <c r="K36" s="2290"/>
      <c r="L36" s="2283"/>
      <c r="M36" s="2283"/>
      <c r="N36" s="2282"/>
      <c r="O36" s="2282"/>
      <c r="P36" s="2282"/>
      <c r="Q36" s="2282"/>
      <c r="R36" s="2283"/>
      <c r="S36" s="2282"/>
      <c r="T36" s="2282"/>
      <c r="U36" s="2291"/>
      <c r="V36" s="2282"/>
      <c r="W36" s="2282"/>
      <c r="X36" s="2282"/>
      <c r="Y36" s="2282"/>
      <c r="Z36" s="2282"/>
      <c r="AA36" s="2292"/>
      <c r="AB36" s="2292"/>
      <c r="AC36" s="2292"/>
      <c r="AD36" s="2292"/>
      <c r="AE36" s="2292"/>
      <c r="AF36" s="2293">
        <v>19</v>
      </c>
    </row>
    <row r="37" spans="1:32" s="2398" customFormat="1" ht="19.899999999999999" customHeight="1">
      <c r="A37" s="2281"/>
      <c r="B37" s="2282"/>
      <c r="C37" s="2283"/>
      <c r="D37" s="2284"/>
      <c r="E37" s="2285" t="s">
        <v>838</v>
      </c>
      <c r="F37" s="2286" t="s">
        <v>839</v>
      </c>
      <c r="G37" s="2287" t="s">
        <v>551</v>
      </c>
      <c r="H37" s="2288" t="s">
        <v>22</v>
      </c>
      <c r="I37" s="2288" t="s">
        <v>22</v>
      </c>
      <c r="J37" s="2289" t="s">
        <v>840</v>
      </c>
      <c r="K37" s="2290"/>
      <c r="L37" s="2283"/>
      <c r="M37" s="2283"/>
      <c r="N37" s="2282"/>
      <c r="O37" s="2282"/>
      <c r="P37" s="2282"/>
      <c r="Q37" s="2282"/>
      <c r="R37" s="2283"/>
      <c r="S37" s="2282"/>
      <c r="T37" s="2282"/>
      <c r="U37" s="2291"/>
      <c r="V37" s="2282"/>
      <c r="W37" s="2282"/>
      <c r="X37" s="2282"/>
      <c r="Y37" s="2282"/>
      <c r="Z37" s="2282"/>
      <c r="AA37" s="2292"/>
      <c r="AB37" s="2292"/>
      <c r="AC37" s="2292"/>
      <c r="AD37" s="2292"/>
      <c r="AE37" s="2292"/>
      <c r="AF37" s="2293">
        <v>19</v>
      </c>
    </row>
    <row r="38" spans="1:32" s="2357" customFormat="1" ht="24" customHeight="1">
      <c r="A38" s="912" t="s">
        <v>585</v>
      </c>
      <c r="C38" s="1552"/>
      <c r="D38" s="1554"/>
      <c r="E38" s="1580" t="s">
        <v>90</v>
      </c>
      <c r="F38" s="643" t="s">
        <v>841</v>
      </c>
      <c r="G38" s="1559" t="s">
        <v>551</v>
      </c>
      <c r="H38" s="493"/>
      <c r="I38" s="493"/>
      <c r="J38" s="226" t="s">
        <v>842</v>
      </c>
      <c r="K38" s="479"/>
      <c r="L38" s="1552"/>
      <c r="M38" s="1552"/>
      <c r="R38" s="1552"/>
      <c r="U38" s="480"/>
      <c r="AA38" s="1548"/>
      <c r="AB38" s="1548"/>
      <c r="AC38" s="1548"/>
      <c r="AD38" s="1548"/>
      <c r="AE38" s="1548"/>
      <c r="AF38" s="1076">
        <v>23</v>
      </c>
    </row>
    <row r="39" spans="1:32" s="2357" customFormat="1" ht="35.65" customHeight="1">
      <c r="A39" s="912"/>
      <c r="C39" s="1552"/>
      <c r="D39" s="1554"/>
      <c r="E39" s="1580" t="s">
        <v>323</v>
      </c>
      <c r="F39" s="879" t="s">
        <v>843</v>
      </c>
      <c r="G39" s="1570"/>
      <c r="H39" s="493"/>
      <c r="I39" s="493"/>
      <c r="J39" s="226"/>
      <c r="K39" s="479"/>
      <c r="L39" s="1552"/>
      <c r="M39" s="1552"/>
      <c r="R39" s="1552"/>
      <c r="U39" s="480"/>
      <c r="AA39" s="1548"/>
      <c r="AB39" s="1548"/>
      <c r="AC39" s="1548"/>
      <c r="AD39" s="1548"/>
      <c r="AE39" s="1548"/>
      <c r="AF39" s="1076">
        <v>34</v>
      </c>
    </row>
    <row r="40" spans="1:32" s="2357" customFormat="1" ht="19.899999999999999" customHeight="1">
      <c r="A40" s="910"/>
      <c r="C40" s="1552"/>
      <c r="D40" s="511"/>
      <c r="E40" s="1580" t="s">
        <v>91</v>
      </c>
      <c r="F40" s="643" t="s">
        <v>844</v>
      </c>
      <c r="G40" s="1559" t="s">
        <v>551</v>
      </c>
      <c r="H40" s="493"/>
      <c r="I40" s="493"/>
      <c r="J40" s="226" t="s">
        <v>845</v>
      </c>
      <c r="K40" s="479"/>
      <c r="L40" s="1552"/>
      <c r="M40" s="1552"/>
      <c r="R40" s="1552"/>
      <c r="U40" s="480"/>
      <c r="AA40" s="1548"/>
      <c r="AB40" s="1548"/>
      <c r="AC40" s="1548"/>
      <c r="AD40" s="1548"/>
      <c r="AE40" s="1548"/>
      <c r="AF40" s="1076">
        <v>19</v>
      </c>
    </row>
    <row r="41" spans="1:32" s="2357" customFormat="1" ht="24" customHeight="1">
      <c r="A41" s="910"/>
      <c r="C41" s="1552"/>
      <c r="D41" s="511"/>
      <c r="E41" s="1580" t="s">
        <v>846</v>
      </c>
      <c r="F41" s="879" t="s">
        <v>847</v>
      </c>
      <c r="G41" s="1570" t="s">
        <v>551</v>
      </c>
      <c r="H41" s="493"/>
      <c r="I41" s="493"/>
      <c r="J41" s="226" t="s">
        <v>848</v>
      </c>
      <c r="K41" s="479"/>
      <c r="L41" s="1552"/>
      <c r="M41" s="1552"/>
      <c r="R41" s="1552"/>
      <c r="U41" s="480"/>
      <c r="AA41" s="1548"/>
      <c r="AB41" s="1548"/>
      <c r="AC41" s="1548"/>
      <c r="AD41" s="1548"/>
      <c r="AE41" s="1548"/>
      <c r="AF41" s="1076">
        <v>23</v>
      </c>
    </row>
    <row r="42" spans="1:32" s="2357" customFormat="1" ht="24" customHeight="1">
      <c r="A42" s="910"/>
      <c r="C42" s="1552"/>
      <c r="D42" s="1554"/>
      <c r="E42" s="1580" t="s">
        <v>849</v>
      </c>
      <c r="F42" s="1566" t="s">
        <v>850</v>
      </c>
      <c r="G42" s="1559" t="s">
        <v>551</v>
      </c>
      <c r="H42" s="493"/>
      <c r="I42" s="493"/>
      <c r="J42" s="226" t="s">
        <v>851</v>
      </c>
      <c r="K42" s="479"/>
      <c r="L42" s="1552"/>
      <c r="M42" s="1552"/>
      <c r="R42" s="1552"/>
      <c r="U42" s="480"/>
      <c r="AA42" s="1548"/>
      <c r="AB42" s="1548"/>
      <c r="AC42" s="1548"/>
      <c r="AD42" s="1548"/>
      <c r="AE42" s="1548"/>
      <c r="AF42" s="1076">
        <v>23</v>
      </c>
    </row>
    <row r="43" spans="1:32" s="2357" customFormat="1" ht="24" customHeight="1">
      <c r="A43" s="910"/>
      <c r="C43" s="1552"/>
      <c r="D43" s="1554"/>
      <c r="E43" s="1580" t="s">
        <v>852</v>
      </c>
      <c r="F43" s="1566" t="s">
        <v>853</v>
      </c>
      <c r="G43" s="1559" t="s">
        <v>551</v>
      </c>
      <c r="H43" s="493"/>
      <c r="I43" s="493"/>
      <c r="J43" s="226" t="s">
        <v>854</v>
      </c>
      <c r="K43" s="479"/>
      <c r="L43" s="1552"/>
      <c r="M43" s="1552"/>
      <c r="R43" s="1552"/>
      <c r="U43" s="480"/>
      <c r="AA43" s="1548"/>
      <c r="AB43" s="1548"/>
      <c r="AC43" s="1548"/>
      <c r="AD43" s="1548"/>
      <c r="AE43" s="1548"/>
      <c r="AF43" s="1076">
        <v>23</v>
      </c>
    </row>
    <row r="44" spans="1:32" s="2357" customFormat="1" ht="24" customHeight="1">
      <c r="A44" s="910"/>
      <c r="C44" s="1552"/>
      <c r="D44" s="1554"/>
      <c r="E44" s="1580" t="s">
        <v>855</v>
      </c>
      <c r="F44" s="1566" t="s">
        <v>856</v>
      </c>
      <c r="G44" s="1559" t="s">
        <v>551</v>
      </c>
      <c r="H44" s="493"/>
      <c r="I44" s="493"/>
      <c r="J44" s="226" t="s">
        <v>857</v>
      </c>
      <c r="K44" s="479"/>
      <c r="L44" s="1552"/>
      <c r="M44" s="1552"/>
      <c r="R44" s="1552"/>
      <c r="U44" s="480"/>
      <c r="AA44" s="1548"/>
      <c r="AB44" s="1548"/>
      <c r="AC44" s="1548"/>
      <c r="AD44" s="1548"/>
      <c r="AE44" s="1548"/>
      <c r="AF44" s="1076">
        <v>23</v>
      </c>
    </row>
    <row r="45" spans="1:32" s="2357" customFormat="1" ht="35.65" customHeight="1">
      <c r="A45" s="910"/>
      <c r="C45" s="1552" t="s">
        <v>587</v>
      </c>
      <c r="D45" s="1554"/>
      <c r="E45" s="1580" t="s">
        <v>111</v>
      </c>
      <c r="F45" s="643" t="s">
        <v>716</v>
      </c>
      <c r="G45" s="1562" t="s">
        <v>858</v>
      </c>
      <c r="H45" s="2039"/>
      <c r="I45" s="2039"/>
      <c r="J45" s="226" t="s">
        <v>859</v>
      </c>
      <c r="K45" s="479"/>
      <c r="L45" s="1552"/>
      <c r="M45" s="1552"/>
      <c r="R45" s="1552"/>
      <c r="U45" s="480"/>
      <c r="AA45" s="1548"/>
      <c r="AB45" s="1548"/>
      <c r="AC45" s="1548"/>
      <c r="AD45" s="1548"/>
      <c r="AE45" s="1548"/>
      <c r="AF45" s="1076">
        <v>34</v>
      </c>
    </row>
    <row r="46" spans="1:32" s="2357" customFormat="1" ht="35.65" customHeight="1">
      <c r="A46" s="910"/>
      <c r="C46" s="1552"/>
      <c r="D46" s="1554"/>
      <c r="E46" s="1580" t="s">
        <v>92</v>
      </c>
      <c r="F46" s="643" t="s">
        <v>860</v>
      </c>
      <c r="G46" s="1559" t="s">
        <v>861</v>
      </c>
      <c r="H46" s="481"/>
      <c r="I46" s="481"/>
      <c r="J46" s="226" t="s">
        <v>862</v>
      </c>
      <c r="K46" s="479"/>
      <c r="L46" s="1552"/>
      <c r="M46" s="1552"/>
      <c r="R46" s="1552"/>
      <c r="U46" s="480"/>
      <c r="AA46" s="1548"/>
      <c r="AB46" s="1548"/>
      <c r="AC46" s="1548"/>
      <c r="AD46" s="1548"/>
      <c r="AE46" s="1548"/>
      <c r="AF46" s="1076">
        <v>34</v>
      </c>
    </row>
    <row r="47" spans="1:32" s="2357" customFormat="1" ht="24" customHeight="1">
      <c r="A47" s="910"/>
      <c r="C47" s="1552"/>
      <c r="D47" s="1554"/>
      <c r="E47" s="1580" t="s">
        <v>93</v>
      </c>
      <c r="F47" s="643" t="s">
        <v>863</v>
      </c>
      <c r="G47" s="1570" t="s">
        <v>864</v>
      </c>
      <c r="H47" s="481"/>
      <c r="I47" s="481"/>
      <c r="J47" s="226" t="s">
        <v>865</v>
      </c>
      <c r="K47" s="479"/>
      <c r="L47" s="1552"/>
      <c r="M47" s="1552"/>
      <c r="R47" s="1552"/>
      <c r="U47" s="480"/>
      <c r="AA47" s="1548"/>
      <c r="AB47" s="1548"/>
      <c r="AC47" s="1548"/>
      <c r="AD47" s="1548"/>
      <c r="AE47" s="1548"/>
      <c r="AF47" s="1076">
        <v>23</v>
      </c>
    </row>
    <row r="48" spans="1:32" s="2357" customFormat="1" ht="19.899999999999999" customHeight="1">
      <c r="A48" s="910"/>
      <c r="C48" s="1552"/>
      <c r="D48" s="1554"/>
      <c r="E48" s="1580" t="s">
        <v>112</v>
      </c>
      <c r="F48" s="643" t="s">
        <v>866</v>
      </c>
      <c r="G48" s="1559" t="s">
        <v>674</v>
      </c>
      <c r="H48" s="513"/>
      <c r="I48" s="513"/>
      <c r="J48" s="226"/>
      <c r="K48" s="479"/>
      <c r="L48" s="1552"/>
      <c r="M48" s="1552"/>
      <c r="R48" s="1552"/>
      <c r="U48" s="480"/>
      <c r="AA48" s="1548"/>
      <c r="AB48" s="1548"/>
      <c r="AC48" s="1548"/>
      <c r="AD48" s="1548"/>
      <c r="AE48" s="1548"/>
      <c r="AF48" s="1076">
        <v>19</v>
      </c>
    </row>
    <row r="49" spans="1:32" ht="11.45" customHeight="1">
      <c r="D49" s="1554"/>
      <c r="AF49" s="1547">
        <v>11</v>
      </c>
    </row>
    <row r="50" spans="1:32" s="2335" customFormat="1" ht="11.45" customHeight="1">
      <c r="A50" s="910"/>
      <c r="B50" s="1552"/>
      <c r="C50" s="1552"/>
      <c r="D50" s="287"/>
      <c r="K50" s="1076"/>
      <c r="L50" s="1552"/>
      <c r="M50" s="1552"/>
      <c r="N50" s="1076"/>
      <c r="O50" s="1076"/>
      <c r="P50" s="1076"/>
      <c r="Q50" s="1076"/>
      <c r="R50" s="1552"/>
      <c r="S50" s="1076"/>
      <c r="T50" s="1076"/>
      <c r="U50" s="480"/>
      <c r="V50" s="1076"/>
      <c r="W50" s="1076"/>
      <c r="X50" s="1076"/>
      <c r="Y50" s="1076"/>
      <c r="Z50" s="1076"/>
      <c r="AA50" s="1548"/>
      <c r="AB50" s="502"/>
      <c r="AC50" s="502"/>
      <c r="AD50" s="502"/>
      <c r="AE50" s="502"/>
      <c r="AF50" s="1557">
        <v>11</v>
      </c>
    </row>
    <row r="51" spans="1:32" s="2335" customFormat="1" ht="11.45" customHeight="1">
      <c r="A51" s="910"/>
      <c r="B51" s="1552"/>
      <c r="C51" s="1552"/>
      <c r="D51" s="287"/>
      <c r="K51" s="1076"/>
      <c r="L51" s="1552"/>
      <c r="M51" s="1552"/>
      <c r="N51" s="1076"/>
      <c r="O51" s="1076"/>
      <c r="P51" s="1076"/>
      <c r="Q51" s="1076"/>
      <c r="R51" s="1552"/>
      <c r="S51" s="1076"/>
      <c r="T51" s="1076"/>
      <c r="U51" s="480"/>
      <c r="V51" s="1076"/>
      <c r="W51" s="1076"/>
      <c r="X51" s="1076"/>
      <c r="Y51" s="1076"/>
      <c r="Z51" s="1076"/>
      <c r="AA51" s="1548"/>
      <c r="AB51" s="502"/>
      <c r="AC51" s="502"/>
      <c r="AD51" s="502"/>
      <c r="AE51" s="502"/>
      <c r="AF51" s="1557">
        <v>11</v>
      </c>
    </row>
    <row r="52" spans="1:32" s="2335" customFormat="1" ht="11.45" customHeight="1">
      <c r="A52" s="910"/>
      <c r="B52" s="1552"/>
      <c r="C52" s="1552"/>
      <c r="D52" s="287"/>
      <c r="H52" s="502"/>
      <c r="I52" s="502"/>
      <c r="K52" s="1076"/>
      <c r="L52" s="1552"/>
      <c r="M52" s="1552"/>
      <c r="N52" s="1076"/>
      <c r="O52" s="1076"/>
      <c r="P52" s="1076"/>
      <c r="Q52" s="1076"/>
      <c r="R52" s="1552"/>
      <c r="S52" s="1076"/>
      <c r="T52" s="1076"/>
      <c r="U52" s="480"/>
      <c r="V52" s="1076"/>
      <c r="W52" s="1076"/>
      <c r="X52" s="1076"/>
      <c r="Y52" s="1076"/>
      <c r="Z52" s="1076"/>
      <c r="AA52" s="1548"/>
      <c r="AB52" s="502"/>
      <c r="AC52" s="502"/>
      <c r="AD52" s="502"/>
      <c r="AE52" s="502"/>
      <c r="AF52" s="1557">
        <v>11</v>
      </c>
    </row>
    <row r="53" spans="1:32" s="2335" customFormat="1" ht="11.45" customHeight="1">
      <c r="A53" s="910"/>
      <c r="B53" s="1552"/>
      <c r="C53" s="1552"/>
      <c r="D53" s="287"/>
      <c r="K53" s="1076"/>
      <c r="L53" s="1552"/>
      <c r="M53" s="1552"/>
      <c r="N53" s="1076"/>
      <c r="O53" s="1076"/>
      <c r="P53" s="1076"/>
      <c r="Q53" s="1076"/>
      <c r="R53" s="1552"/>
      <c r="S53" s="1076"/>
      <c r="T53" s="1076"/>
      <c r="U53" s="480"/>
      <c r="V53" s="1076"/>
      <c r="W53" s="1076"/>
      <c r="X53" s="1076"/>
      <c r="Y53" s="1076"/>
      <c r="Z53" s="1076"/>
      <c r="AA53" s="1548"/>
      <c r="AB53" s="502"/>
      <c r="AC53" s="502"/>
      <c r="AD53" s="502"/>
      <c r="AE53" s="502"/>
      <c r="AF53" s="1557">
        <v>11</v>
      </c>
    </row>
    <row r="54" spans="1:32" s="2335" customFormat="1" ht="11.45" customHeight="1">
      <c r="A54" s="910"/>
      <c r="B54" s="1552"/>
      <c r="C54" s="1552"/>
      <c r="D54" s="287"/>
      <c r="K54" s="1076"/>
      <c r="L54" s="1552"/>
      <c r="M54" s="1552"/>
      <c r="N54" s="1076"/>
      <c r="O54" s="1076"/>
      <c r="P54" s="1076"/>
      <c r="Q54" s="1076"/>
      <c r="R54" s="1552"/>
      <c r="S54" s="1076"/>
      <c r="T54" s="1076"/>
      <c r="U54" s="480"/>
      <c r="V54" s="1076"/>
      <c r="W54" s="1076"/>
      <c r="X54" s="1076"/>
      <c r="Y54" s="1076"/>
      <c r="Z54" s="1076"/>
      <c r="AA54" s="1548"/>
      <c r="AB54" s="502"/>
      <c r="AC54" s="502"/>
      <c r="AD54" s="502"/>
      <c r="AE54" s="502"/>
      <c r="AF54" s="1557">
        <v>11</v>
      </c>
    </row>
    <row r="55" spans="1:32" s="2335" customFormat="1" ht="11.45" customHeight="1">
      <c r="A55" s="910"/>
      <c r="B55" s="1552"/>
      <c r="C55" s="1552"/>
      <c r="D55" s="287"/>
      <c r="K55" s="1076"/>
      <c r="L55" s="1552"/>
      <c r="M55" s="1552"/>
      <c r="N55" s="1076"/>
      <c r="O55" s="1076"/>
      <c r="P55" s="1076"/>
      <c r="Q55" s="1076"/>
      <c r="R55" s="1552"/>
      <c r="S55" s="1076"/>
      <c r="T55" s="1076"/>
      <c r="U55" s="480"/>
      <c r="V55" s="1076"/>
      <c r="W55" s="1076"/>
      <c r="X55" s="1076"/>
      <c r="Y55" s="1076"/>
      <c r="Z55" s="1076"/>
      <c r="AA55" s="1548"/>
      <c r="AB55" s="502"/>
      <c r="AC55" s="502"/>
      <c r="AD55" s="502"/>
      <c r="AE55" s="502"/>
      <c r="AF55" s="1557">
        <v>11</v>
      </c>
    </row>
    <row r="56" spans="1:32" s="2335" customFormat="1" ht="11.45" customHeight="1">
      <c r="A56" s="910"/>
      <c r="B56" s="1552"/>
      <c r="C56" s="1552"/>
      <c r="D56" s="287"/>
      <c r="K56" s="1076"/>
      <c r="L56" s="1552"/>
      <c r="M56" s="1552"/>
      <c r="N56" s="1076"/>
      <c r="O56" s="1076"/>
      <c r="P56" s="1076"/>
      <c r="Q56" s="1076"/>
      <c r="R56" s="1552"/>
      <c r="S56" s="1076"/>
      <c r="T56" s="1076"/>
      <c r="U56" s="480"/>
      <c r="V56" s="1076"/>
      <c r="W56" s="1076"/>
      <c r="X56" s="1076"/>
      <c r="Y56" s="1076"/>
      <c r="Z56" s="1076"/>
      <c r="AA56" s="1548"/>
      <c r="AB56" s="502"/>
      <c r="AC56" s="502"/>
      <c r="AD56" s="502"/>
      <c r="AE56" s="502"/>
      <c r="AF56" s="1557">
        <v>11</v>
      </c>
    </row>
    <row r="57" spans="1:32" s="2335" customFormat="1" ht="11.45" customHeight="1">
      <c r="A57" s="910"/>
      <c r="B57" s="1552"/>
      <c r="C57" s="1552"/>
      <c r="D57" s="287"/>
      <c r="K57" s="1076"/>
      <c r="L57" s="1552"/>
      <c r="M57" s="1552"/>
      <c r="N57" s="1076"/>
      <c r="O57" s="1076"/>
      <c r="P57" s="1076"/>
      <c r="Q57" s="1076"/>
      <c r="R57" s="1552"/>
      <c r="S57" s="1076"/>
      <c r="T57" s="1076"/>
      <c r="U57" s="480"/>
      <c r="V57" s="1076"/>
      <c r="W57" s="1076"/>
      <c r="X57" s="1076"/>
      <c r="Y57" s="1076"/>
      <c r="Z57" s="1076"/>
      <c r="AA57" s="1548"/>
      <c r="AB57" s="502"/>
      <c r="AC57" s="502"/>
      <c r="AD57" s="502"/>
      <c r="AE57" s="502"/>
      <c r="AF57" s="1557">
        <v>11</v>
      </c>
    </row>
    <row r="58" spans="1:32" s="2335" customFormat="1" ht="11.45" customHeight="1">
      <c r="A58" s="910"/>
      <c r="B58" s="1552"/>
      <c r="C58" s="1552"/>
      <c r="D58" s="287"/>
      <c r="K58" s="1076"/>
      <c r="L58" s="1552"/>
      <c r="M58" s="1552"/>
      <c r="N58" s="1076"/>
      <c r="O58" s="1076"/>
      <c r="P58" s="1076"/>
      <c r="Q58" s="1076"/>
      <c r="R58" s="1552"/>
      <c r="S58" s="1076"/>
      <c r="T58" s="1076"/>
      <c r="U58" s="480"/>
      <c r="V58" s="1076"/>
      <c r="W58" s="1076"/>
      <c r="X58" s="1076"/>
      <c r="Y58" s="1076"/>
      <c r="Z58" s="1076"/>
      <c r="AA58" s="1548"/>
      <c r="AB58" s="502"/>
      <c r="AC58" s="502"/>
      <c r="AD58" s="502"/>
      <c r="AE58" s="502"/>
      <c r="AF58" s="1557">
        <v>11</v>
      </c>
    </row>
    <row r="59" spans="1:32" s="2335" customFormat="1" ht="11.45" customHeight="1">
      <c r="A59" s="910"/>
      <c r="B59" s="1552"/>
      <c r="C59" s="1552"/>
      <c r="D59" s="287"/>
      <c r="K59" s="1076"/>
      <c r="L59" s="1552"/>
      <c r="M59" s="1552"/>
      <c r="N59" s="1076"/>
      <c r="O59" s="1076"/>
      <c r="P59" s="1076"/>
      <c r="Q59" s="1076"/>
      <c r="R59" s="1552"/>
      <c r="S59" s="1076"/>
      <c r="T59" s="1076"/>
      <c r="U59" s="480"/>
      <c r="V59" s="1076"/>
      <c r="W59" s="1076"/>
      <c r="X59" s="1076"/>
      <c r="Y59" s="1076"/>
      <c r="Z59" s="1076"/>
      <c r="AA59" s="1548"/>
      <c r="AB59" s="502"/>
      <c r="AC59" s="502"/>
      <c r="AD59" s="502"/>
      <c r="AE59" s="502"/>
      <c r="AF59" s="1557">
        <v>11</v>
      </c>
    </row>
    <row r="60" spans="1:32" s="2335" customFormat="1" ht="11.45" customHeight="1">
      <c r="A60" s="910"/>
      <c r="B60" s="1552"/>
      <c r="C60" s="1552"/>
      <c r="D60" s="287"/>
      <c r="K60" s="1076"/>
      <c r="L60" s="1552"/>
      <c r="M60" s="1552"/>
      <c r="N60" s="1076"/>
      <c r="O60" s="1076"/>
      <c r="P60" s="1076"/>
      <c r="Q60" s="1076"/>
      <c r="R60" s="1552"/>
      <c r="S60" s="1076"/>
      <c r="T60" s="1076"/>
      <c r="U60" s="480"/>
      <c r="V60" s="1076"/>
      <c r="W60" s="1076"/>
      <c r="X60" s="1076"/>
      <c r="Y60" s="1076"/>
      <c r="Z60" s="1076"/>
      <c r="AA60" s="1548"/>
      <c r="AB60" s="502"/>
      <c r="AC60" s="502"/>
      <c r="AD60" s="502"/>
      <c r="AE60" s="502"/>
      <c r="AF60" s="1557">
        <v>11</v>
      </c>
    </row>
    <row r="61" spans="1:32" s="2335" customFormat="1" ht="11.45" customHeight="1">
      <c r="A61" s="910"/>
      <c r="B61" s="1552"/>
      <c r="C61" s="1552"/>
      <c r="D61" s="287"/>
      <c r="K61" s="1076"/>
      <c r="L61" s="1552"/>
      <c r="M61" s="1552"/>
      <c r="N61" s="1076"/>
      <c r="O61" s="1076"/>
      <c r="P61" s="1076"/>
      <c r="Q61" s="1076"/>
      <c r="R61" s="1552"/>
      <c r="S61" s="1076"/>
      <c r="T61" s="1076"/>
      <c r="U61" s="480"/>
      <c r="V61" s="1076"/>
      <c r="W61" s="1076"/>
      <c r="X61" s="1076"/>
      <c r="Y61" s="1076"/>
      <c r="Z61" s="1076"/>
      <c r="AA61" s="1548"/>
      <c r="AB61" s="502"/>
      <c r="AC61" s="502"/>
      <c r="AD61" s="502"/>
      <c r="AE61" s="502"/>
      <c r="AF61" s="1557">
        <v>11</v>
      </c>
    </row>
    <row r="62" spans="1:32" s="2335" customFormat="1" ht="11.45" customHeight="1">
      <c r="A62" s="910"/>
      <c r="B62" s="1552"/>
      <c r="C62" s="1552"/>
      <c r="D62" s="287"/>
      <c r="K62" s="1076"/>
      <c r="L62" s="1552"/>
      <c r="M62" s="1552"/>
      <c r="N62" s="1076"/>
      <c r="O62" s="1076"/>
      <c r="P62" s="1076"/>
      <c r="Q62" s="1076"/>
      <c r="R62" s="1552"/>
      <c r="S62" s="1076"/>
      <c r="T62" s="1076"/>
      <c r="U62" s="480"/>
      <c r="V62" s="1076"/>
      <c r="W62" s="1076"/>
      <c r="X62" s="1076"/>
      <c r="Y62" s="1076"/>
      <c r="Z62" s="1076"/>
      <c r="AA62" s="1548"/>
      <c r="AB62" s="502"/>
      <c r="AC62" s="502"/>
      <c r="AD62" s="502"/>
      <c r="AE62" s="502"/>
      <c r="AF62" s="1557">
        <v>11</v>
      </c>
    </row>
    <row r="63" spans="1:32" s="2335" customFormat="1" ht="11.45" customHeight="1">
      <c r="A63" s="910"/>
      <c r="B63" s="1552"/>
      <c r="C63" s="1552"/>
      <c r="D63" s="287"/>
      <c r="K63" s="1076"/>
      <c r="L63" s="1552"/>
      <c r="M63" s="1552"/>
      <c r="N63" s="1076"/>
      <c r="O63" s="1076"/>
      <c r="P63" s="1076"/>
      <c r="Q63" s="1076"/>
      <c r="R63" s="1552"/>
      <c r="S63" s="1076"/>
      <c r="T63" s="1076"/>
      <c r="U63" s="480"/>
      <c r="V63" s="1076"/>
      <c r="W63" s="1076"/>
      <c r="X63" s="1076"/>
      <c r="Y63" s="1076"/>
      <c r="Z63" s="1076"/>
      <c r="AA63" s="1548"/>
      <c r="AB63" s="502"/>
      <c r="AC63" s="502"/>
      <c r="AD63" s="502"/>
      <c r="AE63" s="502"/>
      <c r="AF63" s="1557">
        <v>11</v>
      </c>
    </row>
    <row r="64" spans="1:32" s="2335" customFormat="1" ht="11.45" customHeight="1">
      <c r="A64" s="910"/>
      <c r="B64" s="1552"/>
      <c r="C64" s="1552"/>
      <c r="D64" s="287"/>
      <c r="K64" s="1076"/>
      <c r="L64" s="1552"/>
      <c r="M64" s="1552"/>
      <c r="N64" s="1076"/>
      <c r="O64" s="1076"/>
      <c r="P64" s="1076"/>
      <c r="Q64" s="1076"/>
      <c r="R64" s="1552"/>
      <c r="S64" s="1076"/>
      <c r="T64" s="1076"/>
      <c r="U64" s="480"/>
      <c r="V64" s="1076"/>
      <c r="W64" s="1076"/>
      <c r="X64" s="1076"/>
      <c r="Y64" s="1076"/>
      <c r="Z64" s="1076"/>
      <c r="AA64" s="1548"/>
      <c r="AB64" s="502"/>
      <c r="AC64" s="502"/>
      <c r="AD64" s="502"/>
      <c r="AE64" s="502"/>
      <c r="AF64" s="1557">
        <v>11</v>
      </c>
    </row>
    <row r="65" spans="1:32" s="2335" customFormat="1" ht="11.45" customHeight="1">
      <c r="A65" s="910"/>
      <c r="B65" s="1552"/>
      <c r="C65" s="1552"/>
      <c r="D65" s="287"/>
      <c r="K65" s="1076"/>
      <c r="L65" s="1552"/>
      <c r="M65" s="1552"/>
      <c r="N65" s="1076"/>
      <c r="O65" s="1076"/>
      <c r="P65" s="1076"/>
      <c r="Q65" s="1076"/>
      <c r="R65" s="1552"/>
      <c r="S65" s="1076"/>
      <c r="T65" s="1076"/>
      <c r="U65" s="480"/>
      <c r="V65" s="1076"/>
      <c r="W65" s="1076"/>
      <c r="X65" s="1076"/>
      <c r="Y65" s="1076"/>
      <c r="Z65" s="1076"/>
      <c r="AA65" s="1548"/>
      <c r="AB65" s="502"/>
      <c r="AC65" s="502"/>
      <c r="AD65" s="502"/>
      <c r="AE65" s="502"/>
      <c r="AF65" s="1557">
        <v>11</v>
      </c>
    </row>
    <row r="66" spans="1:32" s="2335" customFormat="1" ht="11.45" customHeight="1">
      <c r="A66" s="910"/>
      <c r="B66" s="1552"/>
      <c r="C66" s="1552"/>
      <c r="D66" s="287"/>
      <c r="K66" s="1076"/>
      <c r="L66" s="1552"/>
      <c r="M66" s="1552"/>
      <c r="N66" s="1076"/>
      <c r="O66" s="1076"/>
      <c r="P66" s="1076"/>
      <c r="Q66" s="1076"/>
      <c r="R66" s="1552"/>
      <c r="S66" s="1076"/>
      <c r="T66" s="1076"/>
      <c r="U66" s="480"/>
      <c r="V66" s="1076"/>
      <c r="W66" s="1076"/>
      <c r="X66" s="1076"/>
      <c r="Y66" s="1076"/>
      <c r="Z66" s="1076"/>
      <c r="AA66" s="1548"/>
      <c r="AB66" s="502"/>
      <c r="AC66" s="502"/>
      <c r="AD66" s="502"/>
      <c r="AE66" s="502"/>
      <c r="AF66" s="1557">
        <v>11</v>
      </c>
    </row>
    <row r="67" spans="1:32" s="2335" customFormat="1" ht="11.45" customHeight="1">
      <c r="A67" s="910"/>
      <c r="B67" s="1552"/>
      <c r="C67" s="1552"/>
      <c r="D67" s="287"/>
      <c r="K67" s="1076"/>
      <c r="L67" s="1552"/>
      <c r="M67" s="1552"/>
      <c r="N67" s="1076"/>
      <c r="O67" s="1076"/>
      <c r="P67" s="1076"/>
      <c r="Q67" s="1076"/>
      <c r="R67" s="1552"/>
      <c r="S67" s="1076"/>
      <c r="T67" s="1076"/>
      <c r="U67" s="480"/>
      <c r="V67" s="1076"/>
      <c r="W67" s="1076"/>
      <c r="X67" s="1076"/>
      <c r="Y67" s="1076"/>
      <c r="Z67" s="1076"/>
      <c r="AA67" s="1548"/>
      <c r="AB67" s="502"/>
      <c r="AC67" s="502"/>
      <c r="AD67" s="502"/>
      <c r="AE67" s="502"/>
      <c r="AF67" s="1557">
        <v>11</v>
      </c>
    </row>
    <row r="68" spans="1:32" s="2335" customFormat="1" ht="11.45" customHeight="1">
      <c r="A68" s="910"/>
      <c r="B68" s="1552"/>
      <c r="C68" s="1552"/>
      <c r="D68" s="287"/>
      <c r="K68" s="1076"/>
      <c r="L68" s="1552"/>
      <c r="M68" s="1552"/>
      <c r="N68" s="1076"/>
      <c r="O68" s="1076"/>
      <c r="P68" s="1076"/>
      <c r="Q68" s="1076"/>
      <c r="R68" s="1552"/>
      <c r="S68" s="1076"/>
      <c r="T68" s="1076"/>
      <c r="U68" s="480"/>
      <c r="V68" s="1076"/>
      <c r="W68" s="1076"/>
      <c r="X68" s="1076"/>
      <c r="Y68" s="1076"/>
      <c r="Z68" s="1076"/>
      <c r="AA68" s="1548"/>
      <c r="AB68" s="502"/>
      <c r="AC68" s="502"/>
      <c r="AD68" s="502"/>
      <c r="AE68" s="502"/>
      <c r="AF68" s="1557">
        <v>11</v>
      </c>
    </row>
    <row r="69" spans="1:32" s="2335" customFormat="1" ht="11.45" customHeight="1">
      <c r="A69" s="910"/>
      <c r="B69" s="1552"/>
      <c r="C69" s="1552"/>
      <c r="D69" s="287"/>
      <c r="K69" s="1076"/>
      <c r="L69" s="1552"/>
      <c r="M69" s="1552"/>
      <c r="N69" s="1076"/>
      <c r="O69" s="1076"/>
      <c r="P69" s="1076"/>
      <c r="Q69" s="1076"/>
      <c r="R69" s="1552"/>
      <c r="S69" s="1076"/>
      <c r="T69" s="1076"/>
      <c r="U69" s="480"/>
      <c r="V69" s="1076"/>
      <c r="W69" s="1076"/>
      <c r="X69" s="1076"/>
      <c r="Y69" s="1076"/>
      <c r="Z69" s="1076"/>
      <c r="AA69" s="1548"/>
      <c r="AB69" s="502"/>
      <c r="AC69" s="502"/>
      <c r="AD69" s="502"/>
      <c r="AE69" s="502"/>
      <c r="AF69" s="1557">
        <v>11</v>
      </c>
    </row>
    <row r="70" spans="1:32" s="2335" customFormat="1" ht="11.45" customHeight="1">
      <c r="A70" s="910"/>
      <c r="B70" s="1552"/>
      <c r="C70" s="1552"/>
      <c r="D70" s="287"/>
      <c r="K70" s="1076"/>
      <c r="L70" s="1552"/>
      <c r="M70" s="1552"/>
      <c r="N70" s="1076"/>
      <c r="O70" s="1076"/>
      <c r="P70" s="1076"/>
      <c r="Q70" s="1076"/>
      <c r="R70" s="1552"/>
      <c r="S70" s="1076"/>
      <c r="T70" s="1076"/>
      <c r="U70" s="480"/>
      <c r="V70" s="1076"/>
      <c r="W70" s="1076"/>
      <c r="X70" s="1076"/>
      <c r="Y70" s="1076"/>
      <c r="Z70" s="1076"/>
      <c r="AA70" s="1548"/>
      <c r="AB70" s="502"/>
      <c r="AC70" s="502"/>
      <c r="AD70" s="502"/>
      <c r="AE70" s="502"/>
      <c r="AF70" s="1557">
        <v>11</v>
      </c>
    </row>
    <row r="71" spans="1:32" s="2335" customFormat="1" ht="11.45" customHeight="1">
      <c r="A71" s="910"/>
      <c r="B71" s="1552"/>
      <c r="C71" s="1552"/>
      <c r="D71" s="287"/>
      <c r="K71" s="1076"/>
      <c r="L71" s="1552"/>
      <c r="M71" s="1552"/>
      <c r="N71" s="1076"/>
      <c r="O71" s="1076"/>
      <c r="P71" s="1076"/>
      <c r="Q71" s="1076"/>
      <c r="R71" s="1552"/>
      <c r="S71" s="1076"/>
      <c r="T71" s="1076"/>
      <c r="U71" s="480"/>
      <c r="V71" s="1076"/>
      <c r="W71" s="1076"/>
      <c r="X71" s="1076"/>
      <c r="Y71" s="1076"/>
      <c r="Z71" s="1076"/>
      <c r="AA71" s="1548"/>
      <c r="AB71" s="502"/>
      <c r="AC71" s="502"/>
      <c r="AD71" s="502"/>
      <c r="AE71" s="502"/>
      <c r="AF71" s="1557">
        <v>11</v>
      </c>
    </row>
    <row r="72" spans="1:32" s="2335" customFormat="1" ht="11.45" customHeight="1">
      <c r="A72" s="910"/>
      <c r="B72" s="1552"/>
      <c r="C72" s="1552"/>
      <c r="D72" s="287"/>
      <c r="K72" s="1076"/>
      <c r="L72" s="1552"/>
      <c r="M72" s="1552"/>
      <c r="N72" s="1076"/>
      <c r="O72" s="1076"/>
      <c r="P72" s="1076"/>
      <c r="Q72" s="1076"/>
      <c r="R72" s="1552"/>
      <c r="S72" s="1076"/>
      <c r="T72" s="1076"/>
      <c r="U72" s="480"/>
      <c r="V72" s="1076"/>
      <c r="W72" s="1076"/>
      <c r="X72" s="1076"/>
      <c r="Y72" s="1076"/>
      <c r="Z72" s="1076"/>
      <c r="AA72" s="1548"/>
      <c r="AB72" s="502"/>
      <c r="AC72" s="502"/>
      <c r="AD72" s="502"/>
      <c r="AE72" s="502"/>
      <c r="AF72" s="1557">
        <v>11</v>
      </c>
    </row>
    <row r="73" spans="1:32" s="2335" customFormat="1" ht="11.45" customHeight="1">
      <c r="A73" s="910"/>
      <c r="B73" s="1552"/>
      <c r="C73" s="1552"/>
      <c r="D73" s="287"/>
      <c r="K73" s="1076"/>
      <c r="L73" s="1552"/>
      <c r="M73" s="1552"/>
      <c r="N73" s="1076"/>
      <c r="O73" s="1076"/>
      <c r="P73" s="1076"/>
      <c r="Q73" s="1076"/>
      <c r="R73" s="1552"/>
      <c r="S73" s="1076"/>
      <c r="T73" s="1076"/>
      <c r="U73" s="480"/>
      <c r="V73" s="1076"/>
      <c r="W73" s="1076"/>
      <c r="X73" s="1076"/>
      <c r="Y73" s="1076"/>
      <c r="Z73" s="1076"/>
      <c r="AA73" s="1548"/>
      <c r="AB73" s="502"/>
      <c r="AC73" s="502"/>
      <c r="AD73" s="502"/>
      <c r="AE73" s="502"/>
      <c r="AF73" s="1557">
        <v>11</v>
      </c>
    </row>
    <row r="74" spans="1:32" s="2335" customFormat="1" ht="11.45" customHeight="1">
      <c r="A74" s="910"/>
      <c r="B74" s="1552"/>
      <c r="C74" s="1552"/>
      <c r="D74" s="287"/>
      <c r="K74" s="1076"/>
      <c r="L74" s="1552"/>
      <c r="M74" s="1552"/>
      <c r="N74" s="1076"/>
      <c r="O74" s="1076"/>
      <c r="P74" s="1076"/>
      <c r="Q74" s="1076"/>
      <c r="R74" s="1552"/>
      <c r="S74" s="1076"/>
      <c r="T74" s="1076"/>
      <c r="U74" s="480"/>
      <c r="V74" s="1076"/>
      <c r="W74" s="1076"/>
      <c r="X74" s="1076"/>
      <c r="Y74" s="1076"/>
      <c r="Z74" s="1076"/>
      <c r="AA74" s="1548"/>
      <c r="AB74" s="502"/>
      <c r="AC74" s="502"/>
      <c r="AD74" s="502"/>
      <c r="AE74" s="502"/>
      <c r="AF74" s="1557">
        <v>11</v>
      </c>
    </row>
    <row r="75" spans="1:32" s="2335" customFormat="1" ht="11.45" customHeight="1">
      <c r="A75" s="910"/>
      <c r="B75" s="1552"/>
      <c r="C75" s="1552"/>
      <c r="D75" s="287"/>
      <c r="K75" s="1076"/>
      <c r="L75" s="1552"/>
      <c r="M75" s="1552"/>
      <c r="N75" s="1076"/>
      <c r="O75" s="1076"/>
      <c r="P75" s="1076"/>
      <c r="Q75" s="1076"/>
      <c r="R75" s="1552"/>
      <c r="S75" s="1076"/>
      <c r="T75" s="1076"/>
      <c r="U75" s="480"/>
      <c r="V75" s="1076"/>
      <c r="W75" s="1076"/>
      <c r="X75" s="1076"/>
      <c r="Y75" s="1076"/>
      <c r="Z75" s="1076"/>
      <c r="AA75" s="1548"/>
      <c r="AB75" s="502"/>
      <c r="AC75" s="502"/>
      <c r="AD75" s="502"/>
      <c r="AE75" s="502"/>
      <c r="AF75" s="1557">
        <v>11</v>
      </c>
    </row>
    <row r="76" spans="1:32" s="2335" customFormat="1" ht="11.45" customHeight="1">
      <c r="A76" s="910"/>
      <c r="B76" s="1552"/>
      <c r="C76" s="1552"/>
      <c r="D76" s="287"/>
      <c r="K76" s="1076"/>
      <c r="L76" s="1552"/>
      <c r="M76" s="1552"/>
      <c r="N76" s="1076"/>
      <c r="O76" s="1076"/>
      <c r="P76" s="1076"/>
      <c r="Q76" s="1076"/>
      <c r="R76" s="1552"/>
      <c r="S76" s="1076"/>
      <c r="T76" s="1076"/>
      <c r="U76" s="480"/>
      <c r="V76" s="1076"/>
      <c r="W76" s="1076"/>
      <c r="X76" s="1076"/>
      <c r="Y76" s="1076"/>
      <c r="Z76" s="1076"/>
      <c r="AA76" s="1548"/>
      <c r="AB76" s="502"/>
      <c r="AC76" s="502"/>
      <c r="AD76" s="502"/>
      <c r="AE76" s="502"/>
      <c r="AF76" s="1557">
        <v>11</v>
      </c>
    </row>
    <row r="77" spans="1:32" s="2335" customFormat="1" ht="11.45" customHeight="1">
      <c r="A77" s="910"/>
      <c r="B77" s="1552"/>
      <c r="C77" s="1552"/>
      <c r="D77" s="287"/>
      <c r="K77" s="1076"/>
      <c r="L77" s="1552"/>
      <c r="M77" s="1552"/>
      <c r="N77" s="1076"/>
      <c r="O77" s="1076"/>
      <c r="P77" s="1076"/>
      <c r="Q77" s="1076"/>
      <c r="R77" s="1552"/>
      <c r="S77" s="1076"/>
      <c r="T77" s="1076"/>
      <c r="U77" s="480"/>
      <c r="V77" s="1076"/>
      <c r="W77" s="1076"/>
      <c r="X77" s="1076"/>
      <c r="Y77" s="1076"/>
      <c r="Z77" s="1076"/>
      <c r="AA77" s="1548"/>
      <c r="AB77" s="502"/>
      <c r="AC77" s="502"/>
      <c r="AD77" s="502"/>
      <c r="AE77" s="502"/>
      <c r="AF77" s="1557">
        <v>11</v>
      </c>
    </row>
    <row r="78" spans="1:32" s="2335" customFormat="1" ht="11.45" customHeight="1">
      <c r="A78" s="910"/>
      <c r="B78" s="1552"/>
      <c r="C78" s="1552"/>
      <c r="D78" s="287"/>
      <c r="K78" s="1076"/>
      <c r="L78" s="1552"/>
      <c r="M78" s="1552"/>
      <c r="N78" s="1076"/>
      <c r="O78" s="1076"/>
      <c r="P78" s="1076"/>
      <c r="Q78" s="1076"/>
      <c r="R78" s="1552"/>
      <c r="S78" s="1076"/>
      <c r="T78" s="1076"/>
      <c r="U78" s="480"/>
      <c r="V78" s="1076"/>
      <c r="W78" s="1076"/>
      <c r="X78" s="1076"/>
      <c r="Y78" s="1076"/>
      <c r="Z78" s="1076"/>
      <c r="AA78" s="1548"/>
      <c r="AB78" s="502"/>
      <c r="AC78" s="502"/>
      <c r="AD78" s="502"/>
      <c r="AE78" s="502"/>
      <c r="AF78" s="1557">
        <v>11</v>
      </c>
    </row>
    <row r="79" spans="1:32" s="2335" customFormat="1" ht="11.45" customHeight="1">
      <c r="A79" s="910"/>
      <c r="B79" s="1552"/>
      <c r="C79" s="1552"/>
      <c r="D79" s="287"/>
      <c r="K79" s="1076"/>
      <c r="L79" s="1552"/>
      <c r="M79" s="1552"/>
      <c r="N79" s="1076"/>
      <c r="O79" s="1076"/>
      <c r="P79" s="1076"/>
      <c r="Q79" s="1076"/>
      <c r="R79" s="1552"/>
      <c r="S79" s="1076"/>
      <c r="T79" s="1076"/>
      <c r="U79" s="480"/>
      <c r="V79" s="1076"/>
      <c r="W79" s="1076"/>
      <c r="X79" s="1076"/>
      <c r="Y79" s="1076"/>
      <c r="Z79" s="1076"/>
      <c r="AA79" s="1548"/>
      <c r="AB79" s="502"/>
      <c r="AC79" s="502"/>
      <c r="AD79" s="502"/>
      <c r="AE79" s="502"/>
      <c r="AF79" s="1557">
        <v>11</v>
      </c>
    </row>
    <row r="80" spans="1:32" s="2335" customFormat="1" ht="11.45" customHeight="1">
      <c r="A80" s="910"/>
      <c r="B80" s="1552"/>
      <c r="C80" s="1552"/>
      <c r="D80" s="287"/>
      <c r="K80" s="1076"/>
      <c r="L80" s="1552"/>
      <c r="M80" s="1552"/>
      <c r="N80" s="1076"/>
      <c r="O80" s="1076"/>
      <c r="P80" s="1076"/>
      <c r="Q80" s="1076"/>
      <c r="R80" s="1552"/>
      <c r="S80" s="1076"/>
      <c r="T80" s="1076"/>
      <c r="U80" s="480"/>
      <c r="V80" s="1076"/>
      <c r="W80" s="1076"/>
      <c r="X80" s="1076"/>
      <c r="Y80" s="1076"/>
      <c r="Z80" s="1076"/>
      <c r="AA80" s="1548"/>
      <c r="AB80" s="502"/>
      <c r="AC80" s="502"/>
      <c r="AD80" s="502"/>
      <c r="AE80" s="502"/>
      <c r="AF80" s="1557">
        <v>11</v>
      </c>
    </row>
    <row r="81" spans="1:32" s="2335" customFormat="1" ht="11.45" customHeight="1">
      <c r="A81" s="910"/>
      <c r="B81" s="1552"/>
      <c r="C81" s="1552"/>
      <c r="D81" s="287"/>
      <c r="K81" s="1076"/>
      <c r="L81" s="1552"/>
      <c r="M81" s="1552"/>
      <c r="N81" s="1076"/>
      <c r="O81" s="1076"/>
      <c r="P81" s="1076"/>
      <c r="Q81" s="1076"/>
      <c r="R81" s="1552"/>
      <c r="S81" s="1076"/>
      <c r="T81" s="1076"/>
      <c r="U81" s="480"/>
      <c r="V81" s="1076"/>
      <c r="W81" s="1076"/>
      <c r="X81" s="1076"/>
      <c r="Y81" s="1076"/>
      <c r="Z81" s="1076"/>
      <c r="AA81" s="1548"/>
      <c r="AB81" s="502"/>
      <c r="AC81" s="502"/>
      <c r="AD81" s="502"/>
      <c r="AE81" s="502"/>
      <c r="AF81" s="1557">
        <v>11</v>
      </c>
    </row>
    <row r="82" spans="1:32" s="2335" customFormat="1" ht="11.45" customHeight="1">
      <c r="A82" s="910"/>
      <c r="B82" s="1552"/>
      <c r="C82" s="1552"/>
      <c r="D82" s="287"/>
      <c r="K82" s="1076"/>
      <c r="L82" s="1552"/>
      <c r="M82" s="1552"/>
      <c r="N82" s="1076"/>
      <c r="O82" s="1076"/>
      <c r="P82" s="1076"/>
      <c r="Q82" s="1076"/>
      <c r="R82" s="1552"/>
      <c r="S82" s="1076"/>
      <c r="T82" s="1076"/>
      <c r="U82" s="480"/>
      <c r="V82" s="1076"/>
      <c r="W82" s="1076"/>
      <c r="X82" s="1076"/>
      <c r="Y82" s="1076"/>
      <c r="Z82" s="1076"/>
      <c r="AA82" s="1548"/>
      <c r="AB82" s="502"/>
      <c r="AC82" s="502"/>
      <c r="AD82" s="502"/>
      <c r="AE82" s="502"/>
      <c r="AF82" s="1557">
        <v>11</v>
      </c>
    </row>
    <row r="83" spans="1:32" s="2335" customFormat="1" ht="11.45" customHeight="1">
      <c r="A83" s="910"/>
      <c r="B83" s="1552"/>
      <c r="C83" s="1552"/>
      <c r="D83" s="287"/>
      <c r="K83" s="1076"/>
      <c r="L83" s="1552"/>
      <c r="M83" s="1552"/>
      <c r="N83" s="1076"/>
      <c r="O83" s="1076"/>
      <c r="P83" s="1076"/>
      <c r="Q83" s="1076"/>
      <c r="R83" s="1552"/>
      <c r="S83" s="1076"/>
      <c r="T83" s="1076"/>
      <c r="U83" s="480"/>
      <c r="V83" s="1076"/>
      <c r="W83" s="1076"/>
      <c r="X83" s="1076"/>
      <c r="Y83" s="1076"/>
      <c r="Z83" s="1076"/>
      <c r="AA83" s="1548"/>
      <c r="AB83" s="502"/>
      <c r="AC83" s="502"/>
      <c r="AD83" s="502"/>
      <c r="AE83" s="502"/>
      <c r="AF83" s="1557">
        <v>11</v>
      </c>
    </row>
    <row r="84" spans="1:32" s="2335" customFormat="1" ht="11.45" customHeight="1">
      <c r="A84" s="910"/>
      <c r="B84" s="1552"/>
      <c r="C84" s="1552"/>
      <c r="D84" s="287"/>
      <c r="K84" s="1076"/>
      <c r="L84" s="1552"/>
      <c r="M84" s="1552"/>
      <c r="N84" s="1076"/>
      <c r="O84" s="1076"/>
      <c r="P84" s="1076"/>
      <c r="Q84" s="1076"/>
      <c r="R84" s="1552"/>
      <c r="S84" s="1076"/>
      <c r="T84" s="1076"/>
      <c r="U84" s="480"/>
      <c r="V84" s="1076"/>
      <c r="W84" s="1076"/>
      <c r="X84" s="1076"/>
      <c r="Y84" s="1076"/>
      <c r="Z84" s="1076"/>
      <c r="AA84" s="1548"/>
      <c r="AB84" s="502"/>
      <c r="AC84" s="502"/>
      <c r="AD84" s="502"/>
      <c r="AE84" s="502"/>
      <c r="AF84" s="1557">
        <v>11</v>
      </c>
    </row>
    <row r="85" spans="1:32" s="2335" customFormat="1" ht="11.45" customHeight="1">
      <c r="A85" s="910"/>
      <c r="B85" s="1552"/>
      <c r="C85" s="1552"/>
      <c r="D85" s="287"/>
      <c r="K85" s="1076"/>
      <c r="L85" s="1552"/>
      <c r="M85" s="1552"/>
      <c r="N85" s="1076"/>
      <c r="O85" s="1076"/>
      <c r="P85" s="1076"/>
      <c r="Q85" s="1076"/>
      <c r="R85" s="1552"/>
      <c r="S85" s="1076"/>
      <c r="T85" s="1076"/>
      <c r="U85" s="480"/>
      <c r="V85" s="1076"/>
      <c r="W85" s="1076"/>
      <c r="X85" s="1076"/>
      <c r="Y85" s="1076"/>
      <c r="Z85" s="1076"/>
      <c r="AA85" s="1548"/>
      <c r="AB85" s="502"/>
      <c r="AC85" s="502"/>
      <c r="AD85" s="502"/>
      <c r="AE85" s="502"/>
      <c r="AF85" s="1557">
        <v>11</v>
      </c>
    </row>
    <row r="86" spans="1:32" s="2335" customFormat="1" ht="11.45" customHeight="1">
      <c r="A86" s="910"/>
      <c r="B86" s="1552"/>
      <c r="C86" s="1552"/>
      <c r="D86" s="287"/>
      <c r="K86" s="1076"/>
      <c r="L86" s="1552"/>
      <c r="M86" s="1552"/>
      <c r="N86" s="1076"/>
      <c r="O86" s="1076"/>
      <c r="P86" s="1076"/>
      <c r="Q86" s="1076"/>
      <c r="R86" s="1552"/>
      <c r="S86" s="1076"/>
      <c r="T86" s="1076"/>
      <c r="U86" s="480"/>
      <c r="V86" s="1076"/>
      <c r="W86" s="1076"/>
      <c r="X86" s="1076"/>
      <c r="Y86" s="1076"/>
      <c r="Z86" s="1076"/>
      <c r="AA86" s="1548"/>
      <c r="AB86" s="502"/>
      <c r="AC86" s="502"/>
      <c r="AD86" s="502"/>
      <c r="AE86" s="502"/>
      <c r="AF86" s="1557">
        <v>11</v>
      </c>
    </row>
    <row r="87" spans="1:32" s="2335" customFormat="1" ht="11.45" customHeight="1">
      <c r="A87" s="910"/>
      <c r="B87" s="1552"/>
      <c r="C87" s="1552"/>
      <c r="D87" s="287"/>
      <c r="K87" s="1076"/>
      <c r="L87" s="1552"/>
      <c r="M87" s="1552"/>
      <c r="N87" s="1076"/>
      <c r="O87" s="1076"/>
      <c r="P87" s="1076"/>
      <c r="Q87" s="1076"/>
      <c r="R87" s="1552"/>
      <c r="S87" s="1076"/>
      <c r="T87" s="1076"/>
      <c r="U87" s="480"/>
      <c r="V87" s="1076"/>
      <c r="W87" s="1076"/>
      <c r="X87" s="1076"/>
      <c r="Y87" s="1076"/>
      <c r="Z87" s="1076"/>
      <c r="AA87" s="1548"/>
      <c r="AB87" s="502"/>
      <c r="AC87" s="502"/>
      <c r="AD87" s="502"/>
      <c r="AE87" s="502"/>
      <c r="AF87" s="1557">
        <v>11</v>
      </c>
    </row>
    <row r="88" spans="1:32" s="2335" customFormat="1" ht="11.45" customHeight="1">
      <c r="A88" s="910"/>
      <c r="B88" s="1552"/>
      <c r="C88" s="1552"/>
      <c r="D88" s="287"/>
      <c r="K88" s="1076"/>
      <c r="L88" s="1552"/>
      <c r="M88" s="1552"/>
      <c r="N88" s="1076"/>
      <c r="O88" s="1076"/>
      <c r="P88" s="1076"/>
      <c r="Q88" s="1076"/>
      <c r="R88" s="1552"/>
      <c r="S88" s="1076"/>
      <c r="T88" s="1076"/>
      <c r="U88" s="480"/>
      <c r="V88" s="1076"/>
      <c r="W88" s="1076"/>
      <c r="X88" s="1076"/>
      <c r="Y88" s="1076"/>
      <c r="Z88" s="1076"/>
      <c r="AA88" s="1548"/>
      <c r="AB88" s="502"/>
      <c r="AC88" s="502"/>
      <c r="AD88" s="502"/>
      <c r="AE88" s="502"/>
      <c r="AF88" s="1557">
        <v>11</v>
      </c>
    </row>
    <row r="89" spans="1:32" s="2335" customFormat="1" ht="11.45" customHeight="1">
      <c r="A89" s="910"/>
      <c r="B89" s="1552"/>
      <c r="C89" s="1552"/>
      <c r="D89" s="287"/>
      <c r="K89" s="1076"/>
      <c r="L89" s="1552"/>
      <c r="M89" s="1552"/>
      <c r="N89" s="1076"/>
      <c r="O89" s="1076"/>
      <c r="P89" s="1076"/>
      <c r="Q89" s="1076"/>
      <c r="R89" s="1552"/>
      <c r="S89" s="1076"/>
      <c r="T89" s="1076"/>
      <c r="U89" s="480"/>
      <c r="V89" s="1076"/>
      <c r="W89" s="1076"/>
      <c r="X89" s="1076"/>
      <c r="Y89" s="1076"/>
      <c r="Z89" s="1076"/>
      <c r="AA89" s="1548"/>
      <c r="AB89" s="502"/>
      <c r="AC89" s="502"/>
      <c r="AD89" s="502"/>
      <c r="AE89" s="502"/>
      <c r="AF89" s="1557">
        <v>11</v>
      </c>
    </row>
    <row r="90" spans="1:32" s="2335" customFormat="1" ht="11.45" customHeight="1">
      <c r="A90" s="910"/>
      <c r="B90" s="1552"/>
      <c r="C90" s="1552"/>
      <c r="D90" s="287"/>
      <c r="K90" s="1076"/>
      <c r="L90" s="1552"/>
      <c r="M90" s="1552"/>
      <c r="N90" s="1076"/>
      <c r="O90" s="1076"/>
      <c r="P90" s="1076"/>
      <c r="Q90" s="1076"/>
      <c r="R90" s="1552"/>
      <c r="S90" s="1076"/>
      <c r="T90" s="1076"/>
      <c r="U90" s="480"/>
      <c r="V90" s="1076"/>
      <c r="W90" s="1076"/>
      <c r="X90" s="1076"/>
      <c r="Y90" s="1076"/>
      <c r="Z90" s="1076"/>
      <c r="AA90" s="1548"/>
      <c r="AB90" s="502"/>
      <c r="AC90" s="502"/>
      <c r="AD90" s="502"/>
      <c r="AE90" s="502"/>
      <c r="AF90" s="1557">
        <v>11</v>
      </c>
    </row>
    <row r="91" spans="1:32" s="2335" customFormat="1" ht="11.45" customHeight="1">
      <c r="A91" s="910"/>
      <c r="B91" s="1552"/>
      <c r="C91" s="1552"/>
      <c r="D91" s="287"/>
      <c r="K91" s="1076"/>
      <c r="L91" s="1552"/>
      <c r="M91" s="1552"/>
      <c r="N91" s="1076"/>
      <c r="O91" s="1076"/>
      <c r="P91" s="1076"/>
      <c r="Q91" s="1076"/>
      <c r="R91" s="1552"/>
      <c r="S91" s="1076"/>
      <c r="T91" s="1076"/>
      <c r="U91" s="480"/>
      <c r="V91" s="1076"/>
      <c r="W91" s="1076"/>
      <c r="X91" s="1076"/>
      <c r="Y91" s="1076"/>
      <c r="Z91" s="1076"/>
      <c r="AA91" s="1548"/>
      <c r="AB91" s="502"/>
      <c r="AC91" s="502"/>
      <c r="AD91" s="502"/>
      <c r="AE91" s="502"/>
      <c r="AF91" s="1557">
        <v>11</v>
      </c>
    </row>
    <row r="92" spans="1:32" s="2335" customFormat="1" ht="11.45" customHeight="1">
      <c r="A92" s="910"/>
      <c r="B92" s="1552"/>
      <c r="C92" s="1552"/>
      <c r="D92" s="287"/>
      <c r="K92" s="1076"/>
      <c r="L92" s="1552"/>
      <c r="M92" s="1552"/>
      <c r="N92" s="1076"/>
      <c r="O92" s="1076"/>
      <c r="P92" s="1076"/>
      <c r="Q92" s="1076"/>
      <c r="R92" s="1552"/>
      <c r="S92" s="1076"/>
      <c r="T92" s="1076"/>
      <c r="U92" s="480"/>
      <c r="V92" s="1076"/>
      <c r="W92" s="1076"/>
      <c r="X92" s="1076"/>
      <c r="Y92" s="1076"/>
      <c r="Z92" s="1076"/>
      <c r="AA92" s="1548"/>
      <c r="AB92" s="502"/>
      <c r="AC92" s="502"/>
      <c r="AD92" s="502"/>
      <c r="AE92" s="502"/>
      <c r="AF92" s="1557">
        <v>11</v>
      </c>
    </row>
    <row r="93" spans="1:32" s="2335" customFormat="1" ht="11.45" customHeight="1">
      <c r="A93" s="910"/>
      <c r="B93" s="1552"/>
      <c r="C93" s="1552"/>
      <c r="D93" s="287"/>
      <c r="K93" s="1076"/>
      <c r="L93" s="1552"/>
      <c r="M93" s="1552"/>
      <c r="N93" s="1076"/>
      <c r="O93" s="1076"/>
      <c r="P93" s="1076"/>
      <c r="Q93" s="1076"/>
      <c r="R93" s="1552"/>
      <c r="S93" s="1076"/>
      <c r="T93" s="1076"/>
      <c r="U93" s="480"/>
      <c r="V93" s="1076"/>
      <c r="W93" s="1076"/>
      <c r="X93" s="1076"/>
      <c r="Y93" s="1076"/>
      <c r="Z93" s="1076"/>
      <c r="AA93" s="1548"/>
      <c r="AB93" s="502"/>
      <c r="AC93" s="502"/>
      <c r="AD93" s="502"/>
      <c r="AE93" s="502"/>
      <c r="AF93" s="1557">
        <v>11</v>
      </c>
    </row>
    <row r="94" spans="1:32" s="2335" customFormat="1" ht="11.45" customHeight="1">
      <c r="A94" s="910"/>
      <c r="B94" s="1552"/>
      <c r="C94" s="1552"/>
      <c r="D94" s="287"/>
      <c r="K94" s="1076"/>
      <c r="L94" s="1552"/>
      <c r="M94" s="1552"/>
      <c r="N94" s="1076"/>
      <c r="O94" s="1076"/>
      <c r="P94" s="1076"/>
      <c r="Q94" s="1076"/>
      <c r="R94" s="1552"/>
      <c r="S94" s="1076"/>
      <c r="T94" s="1076"/>
      <c r="U94" s="480"/>
      <c r="V94" s="1076"/>
      <c r="W94" s="1076"/>
      <c r="X94" s="1076"/>
      <c r="Y94" s="1076"/>
      <c r="Z94" s="1076"/>
      <c r="AA94" s="1548"/>
      <c r="AB94" s="502"/>
      <c r="AC94" s="502"/>
      <c r="AD94" s="502"/>
      <c r="AE94" s="502"/>
      <c r="AF94" s="1557">
        <v>11</v>
      </c>
    </row>
    <row r="95" spans="1:32" s="2335" customFormat="1" ht="11.45" customHeight="1">
      <c r="A95" s="910"/>
      <c r="B95" s="1552"/>
      <c r="C95" s="1552"/>
      <c r="D95" s="287"/>
      <c r="K95" s="1076"/>
      <c r="L95" s="1552"/>
      <c r="M95" s="1552"/>
      <c r="N95" s="1076"/>
      <c r="O95" s="1076"/>
      <c r="P95" s="1076"/>
      <c r="Q95" s="1076"/>
      <c r="R95" s="1552"/>
      <c r="S95" s="1076"/>
      <c r="T95" s="1076"/>
      <c r="U95" s="480"/>
      <c r="V95" s="1076"/>
      <c r="W95" s="1076"/>
      <c r="X95" s="1076"/>
      <c r="Y95" s="1076"/>
      <c r="Z95" s="1076"/>
      <c r="AA95" s="1548"/>
      <c r="AB95" s="502"/>
      <c r="AC95" s="502"/>
      <c r="AD95" s="502"/>
      <c r="AE95" s="502"/>
      <c r="AF95" s="1557">
        <v>11</v>
      </c>
    </row>
    <row r="96" spans="1:32" s="2335" customFormat="1" ht="11.45" customHeight="1">
      <c r="A96" s="910"/>
      <c r="B96" s="1552"/>
      <c r="C96" s="1552"/>
      <c r="D96" s="287"/>
      <c r="K96" s="1076"/>
      <c r="L96" s="1552"/>
      <c r="M96" s="1552"/>
      <c r="N96" s="1076"/>
      <c r="O96" s="1076"/>
      <c r="P96" s="1076"/>
      <c r="Q96" s="1076"/>
      <c r="R96" s="1552"/>
      <c r="S96" s="1076"/>
      <c r="T96" s="1076"/>
      <c r="U96" s="480"/>
      <c r="V96" s="1076"/>
      <c r="W96" s="1076"/>
      <c r="X96" s="1076"/>
      <c r="Y96" s="1076"/>
      <c r="Z96" s="1076"/>
      <c r="AA96" s="1548"/>
      <c r="AB96" s="502"/>
      <c r="AC96" s="502"/>
      <c r="AD96" s="502"/>
      <c r="AE96" s="502"/>
      <c r="AF96" s="1557">
        <v>11</v>
      </c>
    </row>
    <row r="97" spans="1:32" s="2335" customFormat="1" ht="11.45" customHeight="1">
      <c r="A97" s="910"/>
      <c r="B97" s="1552"/>
      <c r="C97" s="1552"/>
      <c r="D97" s="287"/>
      <c r="K97" s="1076"/>
      <c r="L97" s="1552"/>
      <c r="M97" s="1552"/>
      <c r="N97" s="1076"/>
      <c r="O97" s="1076"/>
      <c r="P97" s="1076"/>
      <c r="Q97" s="1076"/>
      <c r="R97" s="1552"/>
      <c r="S97" s="1076"/>
      <c r="T97" s="1076"/>
      <c r="U97" s="480"/>
      <c r="V97" s="1076"/>
      <c r="W97" s="1076"/>
      <c r="X97" s="1076"/>
      <c r="Y97" s="1076"/>
      <c r="Z97" s="1076"/>
      <c r="AA97" s="1548"/>
      <c r="AB97" s="502"/>
      <c r="AC97" s="502"/>
      <c r="AD97" s="502"/>
      <c r="AE97" s="502"/>
      <c r="AF97" s="1557">
        <v>11</v>
      </c>
    </row>
    <row r="98" spans="1:32" s="2335" customFormat="1" ht="11.45" customHeight="1">
      <c r="A98" s="910"/>
      <c r="B98" s="1552"/>
      <c r="C98" s="1552"/>
      <c r="D98" s="287"/>
      <c r="K98" s="1076"/>
      <c r="L98" s="1552"/>
      <c r="M98" s="1552"/>
      <c r="N98" s="1076"/>
      <c r="O98" s="1076"/>
      <c r="P98" s="1076"/>
      <c r="Q98" s="1076"/>
      <c r="R98" s="1552"/>
      <c r="S98" s="1076"/>
      <c r="T98" s="1076"/>
      <c r="U98" s="480"/>
      <c r="V98" s="1076"/>
      <c r="W98" s="1076"/>
      <c r="X98" s="1076"/>
      <c r="Y98" s="1076"/>
      <c r="Z98" s="1076"/>
      <c r="AA98" s="1548"/>
      <c r="AB98" s="502"/>
      <c r="AC98" s="502"/>
      <c r="AD98" s="502"/>
      <c r="AE98" s="502"/>
      <c r="AF98" s="1557">
        <v>11</v>
      </c>
    </row>
    <row r="99" spans="1:32" s="2335" customFormat="1" ht="11.45" customHeight="1">
      <c r="A99" s="910"/>
      <c r="B99" s="1552"/>
      <c r="C99" s="1552"/>
      <c r="D99" s="287"/>
      <c r="K99" s="1076"/>
      <c r="L99" s="1552"/>
      <c r="M99" s="1552"/>
      <c r="N99" s="1076"/>
      <c r="O99" s="1076"/>
      <c r="P99" s="1076"/>
      <c r="Q99" s="1076"/>
      <c r="R99" s="1552"/>
      <c r="S99" s="1076"/>
      <c r="T99" s="1076"/>
      <c r="U99" s="480"/>
      <c r="V99" s="1076"/>
      <c r="W99" s="1076"/>
      <c r="X99" s="1076"/>
      <c r="Y99" s="1076"/>
      <c r="Z99" s="1076"/>
      <c r="AA99" s="1548"/>
      <c r="AB99" s="502"/>
      <c r="AC99" s="502"/>
      <c r="AD99" s="502"/>
      <c r="AE99" s="502"/>
      <c r="AF99" s="1557">
        <v>11</v>
      </c>
    </row>
    <row r="100" spans="1:32" s="2335" customFormat="1" ht="11.45" customHeight="1">
      <c r="A100" s="910"/>
      <c r="B100" s="1552"/>
      <c r="C100" s="1552"/>
      <c r="D100" s="287"/>
      <c r="K100" s="1076"/>
      <c r="L100" s="1552"/>
      <c r="M100" s="1552"/>
      <c r="N100" s="1076"/>
      <c r="O100" s="1076"/>
      <c r="P100" s="1076"/>
      <c r="Q100" s="1076"/>
      <c r="R100" s="1552"/>
      <c r="S100" s="1076"/>
      <c r="T100" s="1076"/>
      <c r="U100" s="480"/>
      <c r="V100" s="1076"/>
      <c r="W100" s="1076"/>
      <c r="X100" s="1076"/>
      <c r="Y100" s="1076"/>
      <c r="Z100" s="1076"/>
      <c r="AA100" s="1548"/>
      <c r="AB100" s="502"/>
      <c r="AC100" s="502"/>
      <c r="AD100" s="502"/>
      <c r="AE100" s="502"/>
      <c r="AF100" s="1557">
        <v>11</v>
      </c>
    </row>
    <row r="101" spans="1:32" s="2335" customFormat="1" ht="11.45" customHeight="1">
      <c r="A101" s="910"/>
      <c r="B101" s="1552"/>
      <c r="C101" s="1552"/>
      <c r="D101" s="287"/>
      <c r="K101" s="1076"/>
      <c r="L101" s="1552"/>
      <c r="M101" s="1552"/>
      <c r="N101" s="1076"/>
      <c r="O101" s="1076"/>
      <c r="P101" s="1076"/>
      <c r="Q101" s="1076"/>
      <c r="R101" s="1552"/>
      <c r="S101" s="1076"/>
      <c r="T101" s="1076"/>
      <c r="U101" s="480"/>
      <c r="V101" s="1076"/>
      <c r="W101" s="1076"/>
      <c r="X101" s="1076"/>
      <c r="Y101" s="1076"/>
      <c r="Z101" s="1076"/>
      <c r="AA101" s="1548"/>
      <c r="AB101" s="502"/>
      <c r="AC101" s="502"/>
      <c r="AD101" s="502"/>
      <c r="AE101" s="502"/>
      <c r="AF101" s="1557">
        <v>11</v>
      </c>
    </row>
    <row r="102" spans="1:32" s="2335" customFormat="1" ht="11.45" customHeight="1">
      <c r="A102" s="910"/>
      <c r="B102" s="1552"/>
      <c r="C102" s="1552"/>
      <c r="D102" s="287"/>
      <c r="K102" s="1076"/>
      <c r="L102" s="1552"/>
      <c r="M102" s="1552"/>
      <c r="N102" s="1076"/>
      <c r="O102" s="1076"/>
      <c r="P102" s="1076"/>
      <c r="Q102" s="1076"/>
      <c r="R102" s="1552"/>
      <c r="S102" s="1076"/>
      <c r="T102" s="1076"/>
      <c r="U102" s="480"/>
      <c r="V102" s="1076"/>
      <c r="W102" s="1076"/>
      <c r="X102" s="1076"/>
      <c r="Y102" s="1076"/>
      <c r="Z102" s="1076"/>
      <c r="AA102" s="1548"/>
      <c r="AB102" s="502"/>
      <c r="AC102" s="502"/>
      <c r="AD102" s="502"/>
      <c r="AE102" s="502"/>
      <c r="AF102" s="1557">
        <v>11</v>
      </c>
    </row>
    <row r="103" spans="1:32" s="2335" customFormat="1" ht="11.45" customHeight="1">
      <c r="A103" s="910"/>
      <c r="B103" s="1552"/>
      <c r="C103" s="1552"/>
      <c r="D103" s="287"/>
      <c r="K103" s="1076"/>
      <c r="L103" s="1552"/>
      <c r="M103" s="1552"/>
      <c r="N103" s="1076"/>
      <c r="O103" s="1076"/>
      <c r="P103" s="1076"/>
      <c r="Q103" s="1076"/>
      <c r="R103" s="1552"/>
      <c r="S103" s="1076"/>
      <c r="T103" s="1076"/>
      <c r="U103" s="480"/>
      <c r="V103" s="1076"/>
      <c r="W103" s="1076"/>
      <c r="X103" s="1076"/>
      <c r="Y103" s="1076"/>
      <c r="Z103" s="1076"/>
      <c r="AA103" s="1548"/>
      <c r="AB103" s="502"/>
      <c r="AC103" s="502"/>
      <c r="AD103" s="502"/>
      <c r="AE103" s="502"/>
      <c r="AF103" s="1557">
        <v>11</v>
      </c>
    </row>
    <row r="104" spans="1:32" s="2335" customFormat="1" ht="11.45" customHeight="1">
      <c r="A104" s="910"/>
      <c r="B104" s="1552"/>
      <c r="C104" s="1552"/>
      <c r="D104" s="287"/>
      <c r="K104" s="1076"/>
      <c r="L104" s="1552"/>
      <c r="M104" s="1552"/>
      <c r="N104" s="1076"/>
      <c r="O104" s="1076"/>
      <c r="P104" s="1076"/>
      <c r="Q104" s="1076"/>
      <c r="R104" s="1552"/>
      <c r="S104" s="1076"/>
      <c r="T104" s="1076"/>
      <c r="U104" s="480"/>
      <c r="V104" s="1076"/>
      <c r="W104" s="1076"/>
      <c r="X104" s="1076"/>
      <c r="Y104" s="1076"/>
      <c r="Z104" s="1076"/>
      <c r="AA104" s="1548"/>
      <c r="AB104" s="502"/>
      <c r="AC104" s="502"/>
      <c r="AD104" s="502"/>
      <c r="AE104" s="502"/>
      <c r="AF104" s="1557">
        <v>11</v>
      </c>
    </row>
    <row r="105" spans="1:32" s="2335" customFormat="1" ht="11.45" customHeight="1">
      <c r="A105" s="910"/>
      <c r="B105" s="1552"/>
      <c r="C105" s="1552"/>
      <c r="D105" s="287"/>
      <c r="K105" s="1076"/>
      <c r="L105" s="1552"/>
      <c r="M105" s="1552"/>
      <c r="N105" s="1076"/>
      <c r="O105" s="1076"/>
      <c r="P105" s="1076"/>
      <c r="Q105" s="1076"/>
      <c r="R105" s="1552"/>
      <c r="S105" s="1076"/>
      <c r="T105" s="1076"/>
      <c r="U105" s="480"/>
      <c r="V105" s="1076"/>
      <c r="W105" s="1076"/>
      <c r="X105" s="1076"/>
      <c r="Y105" s="1076"/>
      <c r="Z105" s="1076"/>
      <c r="AA105" s="1548"/>
      <c r="AB105" s="502"/>
      <c r="AC105" s="502"/>
      <c r="AD105" s="502"/>
      <c r="AE105" s="502"/>
      <c r="AF105" s="1557">
        <v>11</v>
      </c>
    </row>
    <row r="106" spans="1:32" s="2335" customFormat="1" ht="11.45" customHeight="1">
      <c r="A106" s="910"/>
      <c r="B106" s="1552"/>
      <c r="C106" s="1552"/>
      <c r="D106" s="287"/>
      <c r="K106" s="1076"/>
      <c r="L106" s="1552"/>
      <c r="M106" s="1552"/>
      <c r="N106" s="1076"/>
      <c r="O106" s="1076"/>
      <c r="P106" s="1076"/>
      <c r="Q106" s="1076"/>
      <c r="R106" s="1552"/>
      <c r="S106" s="1076"/>
      <c r="T106" s="1076"/>
      <c r="U106" s="480"/>
      <c r="V106" s="1076"/>
      <c r="W106" s="1076"/>
      <c r="X106" s="1076"/>
      <c r="Y106" s="1076"/>
      <c r="Z106" s="1076"/>
      <c r="AA106" s="1548"/>
      <c r="AB106" s="502"/>
      <c r="AC106" s="502"/>
      <c r="AD106" s="502"/>
      <c r="AE106" s="502"/>
      <c r="AF106" s="1557">
        <v>11</v>
      </c>
    </row>
    <row r="107" spans="1:32" s="2335" customFormat="1" ht="11.45" customHeight="1">
      <c r="A107" s="910"/>
      <c r="B107" s="1552"/>
      <c r="C107" s="1552"/>
      <c r="D107" s="287"/>
      <c r="K107" s="1076"/>
      <c r="L107" s="1552"/>
      <c r="M107" s="1552"/>
      <c r="N107" s="1076"/>
      <c r="O107" s="1076"/>
      <c r="P107" s="1076"/>
      <c r="Q107" s="1076"/>
      <c r="R107" s="1552"/>
      <c r="S107" s="1076"/>
      <c r="T107" s="1076"/>
      <c r="U107" s="480"/>
      <c r="V107" s="1076"/>
      <c r="W107" s="1076"/>
      <c r="X107" s="1076"/>
      <c r="Y107" s="1076"/>
      <c r="Z107" s="1076"/>
      <c r="AA107" s="1548"/>
      <c r="AB107" s="502"/>
      <c r="AC107" s="502"/>
      <c r="AD107" s="502"/>
      <c r="AE107" s="502"/>
      <c r="AF107" s="1557">
        <v>11</v>
      </c>
    </row>
    <row r="108" spans="1:32" s="2335" customFormat="1" ht="11.45" customHeight="1">
      <c r="A108" s="910"/>
      <c r="B108" s="1552"/>
      <c r="C108" s="1552"/>
      <c r="D108" s="287"/>
      <c r="K108" s="1076"/>
      <c r="L108" s="1552"/>
      <c r="M108" s="1552"/>
      <c r="N108" s="1076"/>
      <c r="O108" s="1076"/>
      <c r="P108" s="1076"/>
      <c r="Q108" s="1076"/>
      <c r="R108" s="1552"/>
      <c r="S108" s="1076"/>
      <c r="T108" s="1076"/>
      <c r="U108" s="480"/>
      <c r="V108" s="1076"/>
      <c r="W108" s="1076"/>
      <c r="X108" s="1076"/>
      <c r="Y108" s="1076"/>
      <c r="Z108" s="1076"/>
      <c r="AA108" s="1548"/>
      <c r="AB108" s="502"/>
      <c r="AC108" s="502"/>
      <c r="AD108" s="502"/>
      <c r="AE108" s="502"/>
      <c r="AF108" s="1557">
        <v>11</v>
      </c>
    </row>
    <row r="109" spans="1:32" s="2335" customFormat="1" ht="11.45" customHeight="1">
      <c r="A109" s="910"/>
      <c r="B109" s="1552"/>
      <c r="C109" s="1552"/>
      <c r="D109" s="287"/>
      <c r="K109" s="1076"/>
      <c r="L109" s="1552"/>
      <c r="M109" s="1552"/>
      <c r="N109" s="1076"/>
      <c r="O109" s="1076"/>
      <c r="P109" s="1076"/>
      <c r="Q109" s="1076"/>
      <c r="R109" s="1552"/>
      <c r="S109" s="1076"/>
      <c r="T109" s="1076"/>
      <c r="U109" s="480"/>
      <c r="V109" s="1076"/>
      <c r="W109" s="1076"/>
      <c r="X109" s="1076"/>
      <c r="Y109" s="1076"/>
      <c r="Z109" s="1076"/>
      <c r="AA109" s="1548"/>
      <c r="AB109" s="502"/>
      <c r="AC109" s="502"/>
      <c r="AD109" s="502"/>
      <c r="AE109" s="502"/>
      <c r="AF109" s="1557">
        <v>11</v>
      </c>
    </row>
    <row r="110" spans="1:32" s="2335" customFormat="1" ht="11.45" customHeight="1">
      <c r="A110" s="910"/>
      <c r="B110" s="1552"/>
      <c r="C110" s="1552"/>
      <c r="D110" s="287"/>
      <c r="K110" s="1076"/>
      <c r="L110" s="1552"/>
      <c r="M110" s="1552"/>
      <c r="N110" s="1076"/>
      <c r="O110" s="1076"/>
      <c r="P110" s="1076"/>
      <c r="Q110" s="1076"/>
      <c r="R110" s="1552"/>
      <c r="S110" s="1076"/>
      <c r="T110" s="1076"/>
      <c r="U110" s="480"/>
      <c r="V110" s="1076"/>
      <c r="W110" s="1076"/>
      <c r="X110" s="1076"/>
      <c r="Y110" s="1076"/>
      <c r="Z110" s="1076"/>
      <c r="AA110" s="1548"/>
      <c r="AB110" s="502"/>
      <c r="AC110" s="502"/>
      <c r="AD110" s="502"/>
      <c r="AE110" s="502"/>
      <c r="AF110" s="1557">
        <v>11</v>
      </c>
    </row>
    <row r="111" spans="1:32" s="2335" customFormat="1" ht="11.45" customHeight="1">
      <c r="A111" s="910"/>
      <c r="B111" s="1552"/>
      <c r="C111" s="1552"/>
      <c r="D111" s="287"/>
      <c r="K111" s="1076"/>
      <c r="L111" s="1552"/>
      <c r="M111" s="1552"/>
      <c r="N111" s="1076"/>
      <c r="O111" s="1076"/>
      <c r="P111" s="1076"/>
      <c r="Q111" s="1076"/>
      <c r="R111" s="1552"/>
      <c r="S111" s="1076"/>
      <c r="T111" s="1076"/>
      <c r="U111" s="480"/>
      <c r="V111" s="1076"/>
      <c r="W111" s="1076"/>
      <c r="X111" s="1076"/>
      <c r="Y111" s="1076"/>
      <c r="Z111" s="1076"/>
      <c r="AA111" s="1548"/>
      <c r="AB111" s="502"/>
      <c r="AC111" s="502"/>
      <c r="AD111" s="502"/>
      <c r="AE111" s="502"/>
      <c r="AF111" s="1557">
        <v>11</v>
      </c>
    </row>
    <row r="112" spans="1:32" s="2335" customFormat="1" ht="11.45" customHeight="1">
      <c r="A112" s="910"/>
      <c r="B112" s="1552"/>
      <c r="C112" s="1552"/>
      <c r="D112" s="287"/>
      <c r="K112" s="1076"/>
      <c r="L112" s="1552"/>
      <c r="M112" s="1552"/>
      <c r="N112" s="1076"/>
      <c r="O112" s="1076"/>
      <c r="P112" s="1076"/>
      <c r="Q112" s="1076"/>
      <c r="R112" s="1552"/>
      <c r="S112" s="1076"/>
      <c r="T112" s="1076"/>
      <c r="U112" s="480"/>
      <c r="V112" s="1076"/>
      <c r="W112" s="1076"/>
      <c r="X112" s="1076"/>
      <c r="Y112" s="1076"/>
      <c r="Z112" s="1076"/>
      <c r="AA112" s="1548"/>
      <c r="AB112" s="502"/>
      <c r="AC112" s="502"/>
      <c r="AD112" s="502"/>
      <c r="AE112" s="502"/>
      <c r="AF112" s="1557">
        <v>11</v>
      </c>
    </row>
    <row r="113" spans="1:32" s="2335" customFormat="1" ht="11.45" customHeight="1">
      <c r="A113" s="910"/>
      <c r="B113" s="1552"/>
      <c r="C113" s="1552"/>
      <c r="D113" s="287"/>
      <c r="K113" s="1076"/>
      <c r="L113" s="1552"/>
      <c r="M113" s="1552"/>
      <c r="N113" s="1076"/>
      <c r="O113" s="1076"/>
      <c r="P113" s="1076"/>
      <c r="Q113" s="1076"/>
      <c r="R113" s="1552"/>
      <c r="S113" s="1076"/>
      <c r="T113" s="1076"/>
      <c r="U113" s="480"/>
      <c r="V113" s="1076"/>
      <c r="W113" s="1076"/>
      <c r="X113" s="1076"/>
      <c r="Y113" s="1076"/>
      <c r="Z113" s="1076"/>
      <c r="AA113" s="1548"/>
      <c r="AB113" s="502"/>
      <c r="AC113" s="502"/>
      <c r="AD113" s="502"/>
      <c r="AE113" s="502"/>
      <c r="AF113" s="1557">
        <v>11</v>
      </c>
    </row>
    <row r="114" spans="1:32" s="2335" customFormat="1" ht="11.45" customHeight="1">
      <c r="A114" s="910"/>
      <c r="B114" s="1552"/>
      <c r="C114" s="1552"/>
      <c r="D114" s="287"/>
      <c r="K114" s="1076"/>
      <c r="L114" s="1552"/>
      <c r="M114" s="1552"/>
      <c r="N114" s="1076"/>
      <c r="O114" s="1076"/>
      <c r="P114" s="1076"/>
      <c r="Q114" s="1076"/>
      <c r="R114" s="1552"/>
      <c r="S114" s="1076"/>
      <c r="T114" s="1076"/>
      <c r="U114" s="480"/>
      <c r="V114" s="1076"/>
      <c r="W114" s="1076"/>
      <c r="X114" s="1076"/>
      <c r="Y114" s="1076"/>
      <c r="Z114" s="1076"/>
      <c r="AA114" s="1548"/>
      <c r="AB114" s="502"/>
      <c r="AC114" s="502"/>
      <c r="AD114" s="502"/>
      <c r="AE114" s="502"/>
      <c r="AF114" s="1557">
        <v>11</v>
      </c>
    </row>
    <row r="115" spans="1:32" s="2335" customFormat="1" ht="11.45" customHeight="1">
      <c r="A115" s="910"/>
      <c r="B115" s="1552"/>
      <c r="C115" s="1552"/>
      <c r="D115" s="287"/>
      <c r="K115" s="1076"/>
      <c r="L115" s="1552"/>
      <c r="M115" s="1552"/>
      <c r="N115" s="1076"/>
      <c r="O115" s="1076"/>
      <c r="P115" s="1076"/>
      <c r="Q115" s="1076"/>
      <c r="R115" s="1552"/>
      <c r="S115" s="1076"/>
      <c r="T115" s="1076"/>
      <c r="U115" s="480"/>
      <c r="V115" s="1076"/>
      <c r="W115" s="1076"/>
      <c r="X115" s="1076"/>
      <c r="Y115" s="1076"/>
      <c r="Z115" s="1076"/>
      <c r="AA115" s="1548"/>
      <c r="AB115" s="502"/>
      <c r="AC115" s="502"/>
      <c r="AD115" s="502"/>
      <c r="AE115" s="502"/>
      <c r="AF115" s="1557">
        <v>11</v>
      </c>
    </row>
    <row r="116" spans="1:32" s="2335" customFormat="1" ht="11.45" customHeight="1">
      <c r="A116" s="910"/>
      <c r="B116" s="1552"/>
      <c r="C116" s="1552"/>
      <c r="D116" s="287"/>
      <c r="K116" s="1076"/>
      <c r="L116" s="1552"/>
      <c r="M116" s="1552"/>
      <c r="N116" s="1076"/>
      <c r="O116" s="1076"/>
      <c r="P116" s="1076"/>
      <c r="Q116" s="1076"/>
      <c r="R116" s="1552"/>
      <c r="S116" s="1076"/>
      <c r="T116" s="1076"/>
      <c r="U116" s="480"/>
      <c r="V116" s="1076"/>
      <c r="W116" s="1076"/>
      <c r="X116" s="1076"/>
      <c r="Y116" s="1076"/>
      <c r="Z116" s="1076"/>
      <c r="AA116" s="1548"/>
      <c r="AB116" s="502"/>
      <c r="AC116" s="502"/>
      <c r="AD116" s="502"/>
      <c r="AE116" s="502"/>
      <c r="AF116" s="1557">
        <v>11</v>
      </c>
    </row>
    <row r="117" spans="1:32" s="2335" customFormat="1" ht="11.45" customHeight="1">
      <c r="A117" s="910"/>
      <c r="B117" s="1552"/>
      <c r="C117" s="1552"/>
      <c r="D117" s="287"/>
      <c r="K117" s="1076"/>
      <c r="L117" s="1552"/>
      <c r="M117" s="1552"/>
      <c r="N117" s="1076"/>
      <c r="O117" s="1076"/>
      <c r="P117" s="1076"/>
      <c r="Q117" s="1076"/>
      <c r="R117" s="1552"/>
      <c r="S117" s="1076"/>
      <c r="T117" s="1076"/>
      <c r="U117" s="480"/>
      <c r="V117" s="1076"/>
      <c r="W117" s="1076"/>
      <c r="X117" s="1076"/>
      <c r="Y117" s="1076"/>
      <c r="Z117" s="1076"/>
      <c r="AA117" s="1548"/>
      <c r="AB117" s="502"/>
      <c r="AC117" s="502"/>
      <c r="AD117" s="502"/>
      <c r="AE117" s="502"/>
      <c r="AF117" s="1557">
        <v>11</v>
      </c>
    </row>
    <row r="118" spans="1:32" s="2335" customFormat="1" ht="11.45" customHeight="1">
      <c r="A118" s="910"/>
      <c r="B118" s="1552"/>
      <c r="C118" s="1552"/>
      <c r="D118" s="287"/>
      <c r="K118" s="1076"/>
      <c r="L118" s="1552"/>
      <c r="M118" s="1552"/>
      <c r="N118" s="1076"/>
      <c r="O118" s="1076"/>
      <c r="P118" s="1076"/>
      <c r="Q118" s="1076"/>
      <c r="R118" s="1552"/>
      <c r="S118" s="1076"/>
      <c r="T118" s="1076"/>
      <c r="U118" s="480"/>
      <c r="V118" s="1076"/>
      <c r="W118" s="1076"/>
      <c r="X118" s="1076"/>
      <c r="Y118" s="1076"/>
      <c r="Z118" s="1076"/>
      <c r="AA118" s="1548"/>
      <c r="AB118" s="502"/>
      <c r="AC118" s="502"/>
      <c r="AD118" s="502"/>
      <c r="AE118" s="502"/>
      <c r="AF118" s="1557">
        <v>11</v>
      </c>
    </row>
    <row r="119" spans="1:32" s="2335" customFormat="1" ht="11.45" customHeight="1">
      <c r="A119" s="910"/>
      <c r="B119" s="1552"/>
      <c r="C119" s="1552"/>
      <c r="D119" s="287"/>
      <c r="K119" s="1076"/>
      <c r="L119" s="1552"/>
      <c r="M119" s="1552"/>
      <c r="N119" s="1076"/>
      <c r="O119" s="1076"/>
      <c r="P119" s="1076"/>
      <c r="Q119" s="1076"/>
      <c r="R119" s="1552"/>
      <c r="S119" s="1076"/>
      <c r="T119" s="1076"/>
      <c r="U119" s="480"/>
      <c r="V119" s="1076"/>
      <c r="W119" s="1076"/>
      <c r="X119" s="1076"/>
      <c r="Y119" s="1076"/>
      <c r="Z119" s="1076"/>
      <c r="AA119" s="1548"/>
      <c r="AB119" s="502"/>
      <c r="AC119" s="502"/>
      <c r="AD119" s="502"/>
      <c r="AE119" s="502"/>
      <c r="AF119" s="1557">
        <v>11</v>
      </c>
    </row>
    <row r="120" spans="1:32" s="2335" customFormat="1" ht="11.45" customHeight="1">
      <c r="A120" s="910"/>
      <c r="B120" s="1552"/>
      <c r="C120" s="1552"/>
      <c r="D120" s="287"/>
      <c r="K120" s="1076"/>
      <c r="L120" s="1552"/>
      <c r="M120" s="1552"/>
      <c r="N120" s="1076"/>
      <c r="O120" s="1076"/>
      <c r="P120" s="1076"/>
      <c r="Q120" s="1076"/>
      <c r="R120" s="1552"/>
      <c r="S120" s="1076"/>
      <c r="T120" s="1076"/>
      <c r="U120" s="480"/>
      <c r="V120" s="1076"/>
      <c r="W120" s="1076"/>
      <c r="X120" s="1076"/>
      <c r="Y120" s="1076"/>
      <c r="Z120" s="1076"/>
      <c r="AA120" s="1548"/>
      <c r="AB120" s="502"/>
      <c r="AC120" s="502"/>
      <c r="AD120" s="502"/>
      <c r="AE120" s="502"/>
      <c r="AF120" s="1557">
        <v>11</v>
      </c>
    </row>
    <row r="121" spans="1:32" s="2335" customFormat="1" ht="11.45" customHeight="1">
      <c r="A121" s="910"/>
      <c r="B121" s="1552"/>
      <c r="C121" s="1552"/>
      <c r="D121" s="287"/>
      <c r="K121" s="1076"/>
      <c r="L121" s="1552"/>
      <c r="M121" s="1552"/>
      <c r="N121" s="1076"/>
      <c r="O121" s="1076"/>
      <c r="P121" s="1076"/>
      <c r="Q121" s="1076"/>
      <c r="R121" s="1552"/>
      <c r="S121" s="1076"/>
      <c r="T121" s="1076"/>
      <c r="U121" s="480"/>
      <c r="V121" s="1076"/>
      <c r="W121" s="1076"/>
      <c r="X121" s="1076"/>
      <c r="Y121" s="1076"/>
      <c r="Z121" s="1076"/>
      <c r="AA121" s="1548"/>
      <c r="AB121" s="502"/>
      <c r="AC121" s="502"/>
      <c r="AD121" s="502"/>
      <c r="AE121" s="502"/>
      <c r="AF121" s="1557">
        <v>11</v>
      </c>
    </row>
    <row r="122" spans="1:32" s="2335" customFormat="1" ht="11.45" customHeight="1">
      <c r="A122" s="910"/>
      <c r="B122" s="1552"/>
      <c r="C122" s="1552"/>
      <c r="D122" s="287"/>
      <c r="K122" s="1076"/>
      <c r="L122" s="1552"/>
      <c r="M122" s="1552"/>
      <c r="N122" s="1076"/>
      <c r="O122" s="1076"/>
      <c r="P122" s="1076"/>
      <c r="Q122" s="1076"/>
      <c r="R122" s="1552"/>
      <c r="S122" s="1076"/>
      <c r="T122" s="1076"/>
      <c r="U122" s="480"/>
      <c r="V122" s="1076"/>
      <c r="W122" s="1076"/>
      <c r="X122" s="1076"/>
      <c r="Y122" s="1076"/>
      <c r="Z122" s="1076"/>
      <c r="AA122" s="1548"/>
      <c r="AB122" s="502"/>
      <c r="AC122" s="502"/>
      <c r="AD122" s="502"/>
      <c r="AE122" s="502"/>
      <c r="AF122" s="1557">
        <v>11</v>
      </c>
    </row>
    <row r="123" spans="1:32" s="2335" customFormat="1" ht="11.45" customHeight="1">
      <c r="A123" s="910"/>
      <c r="B123" s="1552"/>
      <c r="C123" s="1552"/>
      <c r="D123" s="287"/>
      <c r="K123" s="1076"/>
      <c r="L123" s="1552"/>
      <c r="M123" s="1552"/>
      <c r="N123" s="1076"/>
      <c r="O123" s="1076"/>
      <c r="P123" s="1076"/>
      <c r="Q123" s="1076"/>
      <c r="R123" s="1552"/>
      <c r="S123" s="1076"/>
      <c r="T123" s="1076"/>
      <c r="U123" s="480"/>
      <c r="V123" s="1076"/>
      <c r="W123" s="1076"/>
      <c r="X123" s="1076"/>
      <c r="Y123" s="1076"/>
      <c r="Z123" s="1076"/>
      <c r="AA123" s="1548"/>
      <c r="AB123" s="502"/>
      <c r="AC123" s="502"/>
      <c r="AD123" s="502"/>
      <c r="AE123" s="502"/>
      <c r="AF123" s="1557">
        <v>11</v>
      </c>
    </row>
    <row r="124" spans="1:32" s="2335" customFormat="1" ht="11.45" customHeight="1">
      <c r="A124" s="910"/>
      <c r="B124" s="1552"/>
      <c r="C124" s="1552"/>
      <c r="D124" s="287"/>
      <c r="K124" s="1076"/>
      <c r="L124" s="1552"/>
      <c r="M124" s="1552"/>
      <c r="N124" s="1076"/>
      <c r="O124" s="1076"/>
      <c r="P124" s="1076"/>
      <c r="Q124" s="1076"/>
      <c r="R124" s="1552"/>
      <c r="S124" s="1076"/>
      <c r="T124" s="1076"/>
      <c r="U124" s="480"/>
      <c r="V124" s="1076"/>
      <c r="W124" s="1076"/>
      <c r="X124" s="1076"/>
      <c r="Y124" s="1076"/>
      <c r="Z124" s="1076"/>
      <c r="AA124" s="1548"/>
      <c r="AB124" s="502"/>
      <c r="AC124" s="502"/>
      <c r="AD124" s="502"/>
      <c r="AE124" s="502"/>
      <c r="AF124" s="1557">
        <v>11</v>
      </c>
    </row>
    <row r="125" spans="1:32" s="2335" customFormat="1" ht="11.45" customHeight="1">
      <c r="A125" s="910"/>
      <c r="B125" s="1552"/>
      <c r="C125" s="1552"/>
      <c r="D125" s="287"/>
      <c r="K125" s="1076"/>
      <c r="L125" s="1552"/>
      <c r="M125" s="1552"/>
      <c r="N125" s="1076"/>
      <c r="O125" s="1076"/>
      <c r="P125" s="1076"/>
      <c r="Q125" s="1076"/>
      <c r="R125" s="1552"/>
      <c r="S125" s="1076"/>
      <c r="T125" s="1076"/>
      <c r="U125" s="480"/>
      <c r="V125" s="1076"/>
      <c r="W125" s="1076"/>
      <c r="X125" s="1076"/>
      <c r="Y125" s="1076"/>
      <c r="Z125" s="1076"/>
      <c r="AA125" s="1548"/>
      <c r="AB125" s="502"/>
      <c r="AC125" s="502"/>
      <c r="AD125" s="502"/>
      <c r="AE125" s="502"/>
      <c r="AF125" s="1557">
        <v>11</v>
      </c>
    </row>
    <row r="126" spans="1:32" s="2335" customFormat="1" ht="11.45" customHeight="1">
      <c r="A126" s="910"/>
      <c r="B126" s="1552"/>
      <c r="C126" s="1552"/>
      <c r="D126" s="287"/>
      <c r="K126" s="1076"/>
      <c r="L126" s="1552"/>
      <c r="M126" s="1552"/>
      <c r="N126" s="1076"/>
      <c r="O126" s="1076"/>
      <c r="P126" s="1076"/>
      <c r="Q126" s="1076"/>
      <c r="R126" s="1552"/>
      <c r="S126" s="1076"/>
      <c r="T126" s="1076"/>
      <c r="U126" s="480"/>
      <c r="V126" s="1076"/>
      <c r="W126" s="1076"/>
      <c r="X126" s="1076"/>
      <c r="Y126" s="1076"/>
      <c r="Z126" s="1076"/>
      <c r="AA126" s="1548"/>
      <c r="AB126" s="502"/>
      <c r="AC126" s="502"/>
      <c r="AD126" s="502"/>
      <c r="AE126" s="502"/>
      <c r="AF126" s="1557">
        <v>11</v>
      </c>
    </row>
    <row r="127" spans="1:32" s="2335" customFormat="1" ht="11.45" customHeight="1">
      <c r="A127" s="910"/>
      <c r="B127" s="1552"/>
      <c r="C127" s="1552"/>
      <c r="D127" s="287"/>
      <c r="K127" s="1076"/>
      <c r="L127" s="1552"/>
      <c r="M127" s="1552"/>
      <c r="N127" s="1076"/>
      <c r="O127" s="1076"/>
      <c r="P127" s="1076"/>
      <c r="Q127" s="1076"/>
      <c r="R127" s="1552"/>
      <c r="S127" s="1076"/>
      <c r="T127" s="1076"/>
      <c r="U127" s="480"/>
      <c r="V127" s="1076"/>
      <c r="W127" s="1076"/>
      <c r="X127" s="1076"/>
      <c r="Y127" s="1076"/>
      <c r="Z127" s="1076"/>
      <c r="AA127" s="1548"/>
      <c r="AB127" s="502"/>
      <c r="AC127" s="502"/>
      <c r="AD127" s="502"/>
      <c r="AE127" s="502"/>
      <c r="AF127" s="1557">
        <v>11</v>
      </c>
    </row>
    <row r="128" spans="1:32" s="2335" customFormat="1" ht="11.45" customHeight="1">
      <c r="A128" s="910"/>
      <c r="B128" s="1552"/>
      <c r="C128" s="1552"/>
      <c r="D128" s="287"/>
      <c r="K128" s="1076"/>
      <c r="L128" s="1552"/>
      <c r="M128" s="1552"/>
      <c r="N128" s="1076"/>
      <c r="O128" s="1076"/>
      <c r="P128" s="1076"/>
      <c r="Q128" s="1076"/>
      <c r="R128" s="1552"/>
      <c r="S128" s="1076"/>
      <c r="T128" s="1076"/>
      <c r="U128" s="480"/>
      <c r="V128" s="1076"/>
      <c r="W128" s="1076"/>
      <c r="X128" s="1076"/>
      <c r="Y128" s="1076"/>
      <c r="Z128" s="1076"/>
      <c r="AA128" s="1548"/>
      <c r="AB128" s="502"/>
      <c r="AC128" s="502"/>
      <c r="AD128" s="502"/>
      <c r="AE128" s="502"/>
      <c r="AF128" s="1557">
        <v>11</v>
      </c>
    </row>
    <row r="129" spans="1:32" s="2335" customFormat="1" ht="11.45" customHeight="1">
      <c r="A129" s="910"/>
      <c r="B129" s="1552"/>
      <c r="C129" s="1552"/>
      <c r="D129" s="287"/>
      <c r="K129" s="1076"/>
      <c r="L129" s="1552"/>
      <c r="M129" s="1552"/>
      <c r="N129" s="1076"/>
      <c r="O129" s="1076"/>
      <c r="P129" s="1076"/>
      <c r="Q129" s="1076"/>
      <c r="R129" s="1552"/>
      <c r="S129" s="1076"/>
      <c r="T129" s="1076"/>
      <c r="U129" s="480"/>
      <c r="V129" s="1076"/>
      <c r="W129" s="1076"/>
      <c r="X129" s="1076"/>
      <c r="Y129" s="1076"/>
      <c r="Z129" s="1076"/>
      <c r="AA129" s="1548"/>
      <c r="AB129" s="502"/>
      <c r="AC129" s="502"/>
      <c r="AD129" s="502"/>
      <c r="AE129" s="502"/>
      <c r="AF129" s="1557">
        <v>11</v>
      </c>
    </row>
    <row r="130" spans="1:32" s="2335" customFormat="1" ht="11.45" customHeight="1">
      <c r="A130" s="910"/>
      <c r="B130" s="1552"/>
      <c r="C130" s="1552"/>
      <c r="D130" s="287"/>
      <c r="K130" s="1076"/>
      <c r="L130" s="1552"/>
      <c r="M130" s="1552"/>
      <c r="N130" s="1076"/>
      <c r="O130" s="1076"/>
      <c r="P130" s="1076"/>
      <c r="Q130" s="1076"/>
      <c r="R130" s="1552"/>
      <c r="S130" s="1076"/>
      <c r="T130" s="1076"/>
      <c r="U130" s="480"/>
      <c r="V130" s="1076"/>
      <c r="W130" s="1076"/>
      <c r="X130" s="1076"/>
      <c r="Y130" s="1076"/>
      <c r="Z130" s="1076"/>
      <c r="AA130" s="1548"/>
      <c r="AB130" s="502"/>
      <c r="AC130" s="502"/>
      <c r="AD130" s="502"/>
      <c r="AE130" s="502"/>
      <c r="AF130" s="1557">
        <v>11</v>
      </c>
    </row>
    <row r="131" spans="1:32" s="2335" customFormat="1" ht="11.45" customHeight="1">
      <c r="A131" s="910"/>
      <c r="B131" s="1552"/>
      <c r="C131" s="1552"/>
      <c r="D131" s="287"/>
      <c r="K131" s="1076"/>
      <c r="L131" s="1552"/>
      <c r="M131" s="1552"/>
      <c r="N131" s="1076"/>
      <c r="O131" s="1076"/>
      <c r="P131" s="1076"/>
      <c r="Q131" s="1076"/>
      <c r="R131" s="1552"/>
      <c r="S131" s="1076"/>
      <c r="T131" s="1076"/>
      <c r="U131" s="480"/>
      <c r="V131" s="1076"/>
      <c r="W131" s="1076"/>
      <c r="X131" s="1076"/>
      <c r="Y131" s="1076"/>
      <c r="Z131" s="1076"/>
      <c r="AA131" s="1548"/>
      <c r="AB131" s="502"/>
      <c r="AC131" s="502"/>
      <c r="AD131" s="502"/>
      <c r="AE131" s="502"/>
      <c r="AF131" s="1557">
        <v>11</v>
      </c>
    </row>
    <row r="132" spans="1:32" s="2335" customFormat="1" ht="11.45" customHeight="1">
      <c r="A132" s="910"/>
      <c r="B132" s="1552"/>
      <c r="C132" s="1552"/>
      <c r="D132" s="287"/>
      <c r="K132" s="1076"/>
      <c r="L132" s="1552"/>
      <c r="M132" s="1552"/>
      <c r="N132" s="1076"/>
      <c r="O132" s="1076"/>
      <c r="P132" s="1076"/>
      <c r="Q132" s="1076"/>
      <c r="R132" s="1552"/>
      <c r="S132" s="1076"/>
      <c r="T132" s="1076"/>
      <c r="U132" s="480"/>
      <c r="V132" s="1076"/>
      <c r="W132" s="1076"/>
      <c r="X132" s="1076"/>
      <c r="Y132" s="1076"/>
      <c r="Z132" s="1076"/>
      <c r="AA132" s="1548"/>
      <c r="AB132" s="502"/>
      <c r="AC132" s="502"/>
      <c r="AD132" s="502"/>
      <c r="AE132" s="502"/>
      <c r="AF132" s="1557">
        <v>11</v>
      </c>
    </row>
    <row r="133" spans="1:32" s="2335" customFormat="1" ht="11.45" customHeight="1">
      <c r="A133" s="910"/>
      <c r="B133" s="1552"/>
      <c r="C133" s="1552"/>
      <c r="D133" s="287"/>
      <c r="K133" s="1076"/>
      <c r="L133" s="1552"/>
      <c r="M133" s="1552"/>
      <c r="N133" s="1076"/>
      <c r="O133" s="1076"/>
      <c r="P133" s="1076"/>
      <c r="Q133" s="1076"/>
      <c r="R133" s="1552"/>
      <c r="S133" s="1076"/>
      <c r="T133" s="1076"/>
      <c r="U133" s="480"/>
      <c r="V133" s="1076"/>
      <c r="W133" s="1076"/>
      <c r="X133" s="1076"/>
      <c r="Y133" s="1076"/>
      <c r="Z133" s="1076"/>
      <c r="AA133" s="1548"/>
      <c r="AB133" s="502"/>
      <c r="AC133" s="502"/>
      <c r="AD133" s="502"/>
      <c r="AE133" s="502"/>
      <c r="AF133" s="1557">
        <v>11</v>
      </c>
    </row>
    <row r="134" spans="1:32" s="2335" customFormat="1" ht="11.45" customHeight="1">
      <c r="A134" s="910"/>
      <c r="B134" s="1552"/>
      <c r="C134" s="1552"/>
      <c r="D134" s="287"/>
      <c r="K134" s="1076"/>
      <c r="L134" s="1552"/>
      <c r="M134" s="1552"/>
      <c r="N134" s="1076"/>
      <c r="O134" s="1076"/>
      <c r="P134" s="1076"/>
      <c r="Q134" s="1076"/>
      <c r="R134" s="1552"/>
      <c r="S134" s="1076"/>
      <c r="T134" s="1076"/>
      <c r="U134" s="480"/>
      <c r="V134" s="1076"/>
      <c r="W134" s="1076"/>
      <c r="X134" s="1076"/>
      <c r="Y134" s="1076"/>
      <c r="Z134" s="1076"/>
      <c r="AA134" s="1548"/>
      <c r="AB134" s="502"/>
      <c r="AC134" s="502"/>
      <c r="AD134" s="502"/>
      <c r="AE134" s="502"/>
      <c r="AF134" s="1557">
        <v>11</v>
      </c>
    </row>
    <row r="135" spans="1:32" s="2335" customFormat="1" ht="11.45" customHeight="1">
      <c r="A135" s="910"/>
      <c r="B135" s="1552"/>
      <c r="C135" s="1552"/>
      <c r="D135" s="287"/>
      <c r="K135" s="1076"/>
      <c r="L135" s="1552"/>
      <c r="M135" s="1552"/>
      <c r="N135" s="1076"/>
      <c r="O135" s="1076"/>
      <c r="P135" s="1076"/>
      <c r="Q135" s="1076"/>
      <c r="R135" s="1552"/>
      <c r="S135" s="1076"/>
      <c r="T135" s="1076"/>
      <c r="U135" s="480"/>
      <c r="V135" s="1076"/>
      <c r="W135" s="1076"/>
      <c r="X135" s="1076"/>
      <c r="Y135" s="1076"/>
      <c r="Z135" s="1076"/>
      <c r="AA135" s="1548"/>
      <c r="AB135" s="502"/>
      <c r="AC135" s="502"/>
      <c r="AD135" s="502"/>
      <c r="AE135" s="502"/>
      <c r="AF135" s="1557">
        <v>11</v>
      </c>
    </row>
    <row r="136" spans="1:32" s="2335" customFormat="1" ht="11.45" customHeight="1">
      <c r="A136" s="910"/>
      <c r="B136" s="1552"/>
      <c r="C136" s="1552"/>
      <c r="D136" s="287"/>
      <c r="K136" s="1076"/>
      <c r="L136" s="1552"/>
      <c r="M136" s="1552"/>
      <c r="N136" s="1076"/>
      <c r="O136" s="1076"/>
      <c r="P136" s="1076"/>
      <c r="Q136" s="1076"/>
      <c r="R136" s="1552"/>
      <c r="S136" s="1076"/>
      <c r="T136" s="1076"/>
      <c r="U136" s="480"/>
      <c r="V136" s="1076"/>
      <c r="W136" s="1076"/>
      <c r="X136" s="1076"/>
      <c r="Y136" s="1076"/>
      <c r="Z136" s="1076"/>
      <c r="AA136" s="1548"/>
      <c r="AB136" s="502"/>
      <c r="AC136" s="502"/>
      <c r="AD136" s="502"/>
      <c r="AE136" s="502"/>
      <c r="AF136" s="1557">
        <v>11</v>
      </c>
    </row>
    <row r="137" spans="1:32" s="2335" customFormat="1" ht="11.45" customHeight="1">
      <c r="A137" s="910"/>
      <c r="B137" s="1552"/>
      <c r="C137" s="1552"/>
      <c r="D137" s="287"/>
      <c r="K137" s="1076"/>
      <c r="L137" s="1552"/>
      <c r="M137" s="1552"/>
      <c r="N137" s="1076"/>
      <c r="O137" s="1076"/>
      <c r="P137" s="1076"/>
      <c r="Q137" s="1076"/>
      <c r="R137" s="1552"/>
      <c r="S137" s="1076"/>
      <c r="T137" s="1076"/>
      <c r="U137" s="480"/>
      <c r="V137" s="1076"/>
      <c r="W137" s="1076"/>
      <c r="X137" s="1076"/>
      <c r="Y137" s="1076"/>
      <c r="Z137" s="1076"/>
      <c r="AA137" s="1548"/>
      <c r="AB137" s="502"/>
      <c r="AC137" s="502"/>
      <c r="AD137" s="502"/>
      <c r="AE137" s="502"/>
      <c r="AF137" s="1557">
        <v>11</v>
      </c>
    </row>
    <row r="138" spans="1:32" s="2335" customFormat="1" ht="11.45" customHeight="1">
      <c r="A138" s="910"/>
      <c r="B138" s="1552"/>
      <c r="C138" s="1552"/>
      <c r="D138" s="287"/>
      <c r="K138" s="1076"/>
      <c r="L138" s="1552"/>
      <c r="M138" s="1552"/>
      <c r="N138" s="1076"/>
      <c r="O138" s="1076"/>
      <c r="P138" s="1076"/>
      <c r="Q138" s="1076"/>
      <c r="R138" s="1552"/>
      <c r="S138" s="1076"/>
      <c r="T138" s="1076"/>
      <c r="U138" s="480"/>
      <c r="V138" s="1076"/>
      <c r="W138" s="1076"/>
      <c r="X138" s="1076"/>
      <c r="Y138" s="1076"/>
      <c r="Z138" s="1076"/>
      <c r="AA138" s="1548"/>
      <c r="AB138" s="502"/>
      <c r="AC138" s="502"/>
      <c r="AD138" s="502"/>
      <c r="AE138" s="502"/>
      <c r="AF138" s="1557">
        <v>11</v>
      </c>
    </row>
    <row r="139" spans="1:32" s="2335" customFormat="1" ht="11.45" customHeight="1">
      <c r="A139" s="910"/>
      <c r="B139" s="1552"/>
      <c r="C139" s="1552"/>
      <c r="D139" s="287"/>
      <c r="K139" s="1076"/>
      <c r="L139" s="1552"/>
      <c r="M139" s="1552"/>
      <c r="N139" s="1076"/>
      <c r="O139" s="1076"/>
      <c r="P139" s="1076"/>
      <c r="Q139" s="1076"/>
      <c r="R139" s="1552"/>
      <c r="S139" s="1076"/>
      <c r="T139" s="1076"/>
      <c r="U139" s="480"/>
      <c r="V139" s="1076"/>
      <c r="W139" s="1076"/>
      <c r="X139" s="1076"/>
      <c r="Y139" s="1076"/>
      <c r="Z139" s="1076"/>
      <c r="AA139" s="1548"/>
      <c r="AB139" s="502"/>
      <c r="AC139" s="502"/>
      <c r="AD139" s="502"/>
      <c r="AE139" s="502"/>
      <c r="AF139" s="1557">
        <v>11</v>
      </c>
    </row>
    <row r="140" spans="1:32" s="2335" customFormat="1" ht="11.45" customHeight="1">
      <c r="A140" s="910"/>
      <c r="B140" s="1552"/>
      <c r="C140" s="1552"/>
      <c r="D140" s="287"/>
      <c r="K140" s="1076"/>
      <c r="L140" s="1552"/>
      <c r="M140" s="1552"/>
      <c r="N140" s="1076"/>
      <c r="O140" s="1076"/>
      <c r="P140" s="1076"/>
      <c r="Q140" s="1076"/>
      <c r="R140" s="1552"/>
      <c r="S140" s="1076"/>
      <c r="T140" s="1076"/>
      <c r="U140" s="480"/>
      <c r="V140" s="1076"/>
      <c r="W140" s="1076"/>
      <c r="X140" s="1076"/>
      <c r="Y140" s="1076"/>
      <c r="Z140" s="1076"/>
      <c r="AA140" s="1548"/>
      <c r="AB140" s="502"/>
      <c r="AC140" s="502"/>
      <c r="AD140" s="502"/>
      <c r="AE140" s="502"/>
      <c r="AF140" s="1557">
        <v>11</v>
      </c>
    </row>
    <row r="141" spans="1:32" s="2335" customFormat="1" ht="11.45" customHeight="1">
      <c r="A141" s="910"/>
      <c r="B141" s="1552"/>
      <c r="C141" s="1552"/>
      <c r="D141" s="287"/>
      <c r="K141" s="1076"/>
      <c r="L141" s="1552"/>
      <c r="M141" s="1552"/>
      <c r="N141" s="1076"/>
      <c r="O141" s="1076"/>
      <c r="P141" s="1076"/>
      <c r="Q141" s="1076"/>
      <c r="R141" s="1552"/>
      <c r="S141" s="1076"/>
      <c r="T141" s="1076"/>
      <c r="U141" s="480"/>
      <c r="V141" s="1076"/>
      <c r="W141" s="1076"/>
      <c r="X141" s="1076"/>
      <c r="Y141" s="1076"/>
      <c r="Z141" s="1076"/>
      <c r="AA141" s="1548"/>
      <c r="AB141" s="502"/>
      <c r="AC141" s="502"/>
      <c r="AD141" s="502"/>
      <c r="AE141" s="502"/>
      <c r="AF141" s="1557">
        <v>11</v>
      </c>
    </row>
    <row r="142" spans="1:32" s="2335" customFormat="1" ht="11.45" customHeight="1">
      <c r="A142" s="910"/>
      <c r="B142" s="1552"/>
      <c r="C142" s="1552"/>
      <c r="D142" s="287"/>
      <c r="K142" s="1076"/>
      <c r="L142" s="1552"/>
      <c r="M142" s="1552"/>
      <c r="N142" s="1076"/>
      <c r="O142" s="1076"/>
      <c r="P142" s="1076"/>
      <c r="Q142" s="1076"/>
      <c r="R142" s="1552"/>
      <c r="S142" s="1076"/>
      <c r="T142" s="1076"/>
      <c r="U142" s="480"/>
      <c r="V142" s="1076"/>
      <c r="W142" s="1076"/>
      <c r="X142" s="1076"/>
      <c r="Y142" s="1076"/>
      <c r="Z142" s="1076"/>
      <c r="AA142" s="1548"/>
      <c r="AB142" s="502"/>
      <c r="AC142" s="502"/>
      <c r="AD142" s="502"/>
      <c r="AE142" s="502"/>
      <c r="AF142" s="1557">
        <v>11</v>
      </c>
    </row>
    <row r="143" spans="1:32" s="2335" customFormat="1" ht="11.45" customHeight="1">
      <c r="A143" s="910"/>
      <c r="B143" s="1552"/>
      <c r="C143" s="1552"/>
      <c r="D143" s="287"/>
      <c r="K143" s="1076"/>
      <c r="L143" s="1552"/>
      <c r="M143" s="1552"/>
      <c r="N143" s="1076"/>
      <c r="O143" s="1076"/>
      <c r="P143" s="1076"/>
      <c r="Q143" s="1076"/>
      <c r="R143" s="1552"/>
      <c r="S143" s="1076"/>
      <c r="T143" s="1076"/>
      <c r="U143" s="480"/>
      <c r="V143" s="1076"/>
      <c r="W143" s="1076"/>
      <c r="X143" s="1076"/>
      <c r="Y143" s="1076"/>
      <c r="Z143" s="1076"/>
      <c r="AA143" s="1548"/>
      <c r="AB143" s="502"/>
      <c r="AC143" s="502"/>
      <c r="AD143" s="502"/>
      <c r="AE143" s="502"/>
      <c r="AF143" s="1557">
        <v>11</v>
      </c>
    </row>
    <row r="144" spans="1:32" s="2335" customFormat="1" ht="11.45" customHeight="1">
      <c r="A144" s="910"/>
      <c r="B144" s="1552"/>
      <c r="C144" s="1552"/>
      <c r="D144" s="287"/>
      <c r="K144" s="1076"/>
      <c r="L144" s="1552"/>
      <c r="M144" s="1552"/>
      <c r="N144" s="1076"/>
      <c r="O144" s="1076"/>
      <c r="P144" s="1076"/>
      <c r="Q144" s="1076"/>
      <c r="R144" s="1552"/>
      <c r="S144" s="1076"/>
      <c r="T144" s="1076"/>
      <c r="U144" s="480"/>
      <c r="V144" s="1076"/>
      <c r="W144" s="1076"/>
      <c r="X144" s="1076"/>
      <c r="Y144" s="1076"/>
      <c r="Z144" s="1076"/>
      <c r="AA144" s="1548"/>
      <c r="AB144" s="502"/>
      <c r="AC144" s="502"/>
      <c r="AD144" s="502"/>
      <c r="AE144" s="502"/>
      <c r="AF144" s="1557">
        <v>11</v>
      </c>
    </row>
    <row r="145" spans="1:32" s="2335" customFormat="1" ht="11.45" customHeight="1">
      <c r="A145" s="910"/>
      <c r="B145" s="1552"/>
      <c r="C145" s="1552"/>
      <c r="D145" s="287"/>
      <c r="K145" s="1076"/>
      <c r="L145" s="1552"/>
      <c r="M145" s="1552"/>
      <c r="N145" s="1076"/>
      <c r="O145" s="1076"/>
      <c r="P145" s="1076"/>
      <c r="Q145" s="1076"/>
      <c r="R145" s="1552"/>
      <c r="S145" s="1076"/>
      <c r="T145" s="1076"/>
      <c r="U145" s="480"/>
      <c r="V145" s="1076"/>
      <c r="W145" s="1076"/>
      <c r="X145" s="1076"/>
      <c r="Y145" s="1076"/>
      <c r="Z145" s="1076"/>
      <c r="AA145" s="1548"/>
      <c r="AB145" s="502"/>
      <c r="AC145" s="502"/>
      <c r="AD145" s="502"/>
      <c r="AE145" s="502"/>
      <c r="AF145" s="1557">
        <v>11</v>
      </c>
    </row>
    <row r="146" spans="1:32" s="2335" customFormat="1" ht="11.45" customHeight="1">
      <c r="A146" s="910"/>
      <c r="B146" s="1552"/>
      <c r="C146" s="1552"/>
      <c r="D146" s="287"/>
      <c r="K146" s="1076"/>
      <c r="L146" s="1552"/>
      <c r="M146" s="1552"/>
      <c r="N146" s="1076"/>
      <c r="O146" s="1076"/>
      <c r="P146" s="1076"/>
      <c r="Q146" s="1076"/>
      <c r="R146" s="1552"/>
      <c r="S146" s="1076"/>
      <c r="T146" s="1076"/>
      <c r="U146" s="480"/>
      <c r="V146" s="1076"/>
      <c r="W146" s="1076"/>
      <c r="X146" s="1076"/>
      <c r="Y146" s="1076"/>
      <c r="Z146" s="1076"/>
      <c r="AA146" s="1548"/>
      <c r="AB146" s="502"/>
      <c r="AC146" s="502"/>
      <c r="AD146" s="502"/>
      <c r="AE146" s="502"/>
      <c r="AF146" s="1557">
        <v>11</v>
      </c>
    </row>
    <row r="147" spans="1:32" s="2335" customFormat="1" ht="11.45" customHeight="1">
      <c r="A147" s="910"/>
      <c r="B147" s="1552"/>
      <c r="C147" s="1552"/>
      <c r="D147" s="287"/>
      <c r="K147" s="1076"/>
      <c r="L147" s="1552"/>
      <c r="M147" s="1552"/>
      <c r="N147" s="1076"/>
      <c r="O147" s="1076"/>
      <c r="P147" s="1076"/>
      <c r="Q147" s="1076"/>
      <c r="R147" s="1552"/>
      <c r="S147" s="1076"/>
      <c r="T147" s="1076"/>
      <c r="U147" s="480"/>
      <c r="V147" s="1076"/>
      <c r="W147" s="1076"/>
      <c r="X147" s="1076"/>
      <c r="Y147" s="1076"/>
      <c r="Z147" s="1076"/>
      <c r="AA147" s="1548"/>
      <c r="AB147" s="502"/>
      <c r="AC147" s="502"/>
      <c r="AD147" s="502"/>
      <c r="AE147" s="502"/>
      <c r="AF147" s="1557">
        <v>11</v>
      </c>
    </row>
    <row r="148" spans="1:32" s="2335" customFormat="1" ht="11.45" customHeight="1">
      <c r="A148" s="910"/>
      <c r="B148" s="1552"/>
      <c r="C148" s="1552"/>
      <c r="D148" s="287"/>
      <c r="K148" s="1076"/>
      <c r="L148" s="1552"/>
      <c r="M148" s="1552"/>
      <c r="N148" s="1076"/>
      <c r="O148" s="1076"/>
      <c r="P148" s="1076"/>
      <c r="Q148" s="1076"/>
      <c r="R148" s="1552"/>
      <c r="S148" s="1076"/>
      <c r="T148" s="1076"/>
      <c r="U148" s="480"/>
      <c r="V148" s="1076"/>
      <c r="W148" s="1076"/>
      <c r="X148" s="1076"/>
      <c r="Y148" s="1076"/>
      <c r="Z148" s="1076"/>
      <c r="AA148" s="1548"/>
      <c r="AB148" s="502"/>
      <c r="AC148" s="502"/>
      <c r="AD148" s="502"/>
      <c r="AE148" s="502"/>
      <c r="AF148" s="1557">
        <v>11</v>
      </c>
    </row>
    <row r="149" spans="1:32" s="2335" customFormat="1" ht="11.45" customHeight="1">
      <c r="A149" s="910"/>
      <c r="B149" s="1552"/>
      <c r="C149" s="1552"/>
      <c r="D149" s="287"/>
      <c r="K149" s="1076"/>
      <c r="L149" s="1552"/>
      <c r="M149" s="1552"/>
      <c r="N149" s="1076"/>
      <c r="O149" s="1076"/>
      <c r="P149" s="1076"/>
      <c r="Q149" s="1076"/>
      <c r="R149" s="1552"/>
      <c r="S149" s="1076"/>
      <c r="T149" s="1076"/>
      <c r="U149" s="480"/>
      <c r="V149" s="1076"/>
      <c r="W149" s="1076"/>
      <c r="X149" s="1076"/>
      <c r="Y149" s="1076"/>
      <c r="Z149" s="1076"/>
      <c r="AA149" s="1548"/>
      <c r="AB149" s="502"/>
      <c r="AC149" s="502"/>
      <c r="AD149" s="502"/>
      <c r="AE149" s="502"/>
      <c r="AF149" s="1557">
        <v>11</v>
      </c>
    </row>
    <row r="150" spans="1:32" s="2335" customFormat="1" ht="11.45" customHeight="1">
      <c r="A150" s="910"/>
      <c r="B150" s="1552"/>
      <c r="C150" s="1552"/>
      <c r="D150" s="287"/>
      <c r="K150" s="1076"/>
      <c r="L150" s="1552"/>
      <c r="M150" s="1552"/>
      <c r="N150" s="1076"/>
      <c r="O150" s="1076"/>
      <c r="P150" s="1076"/>
      <c r="Q150" s="1076"/>
      <c r="R150" s="1552"/>
      <c r="S150" s="1076"/>
      <c r="T150" s="1076"/>
      <c r="U150" s="480"/>
      <c r="V150" s="1076"/>
      <c r="W150" s="1076"/>
      <c r="X150" s="1076"/>
      <c r="Y150" s="1076"/>
      <c r="Z150" s="1076"/>
      <c r="AA150" s="1548"/>
      <c r="AB150" s="502"/>
      <c r="AC150" s="502"/>
      <c r="AD150" s="502"/>
      <c r="AE150" s="502"/>
      <c r="AF150" s="1557">
        <v>11</v>
      </c>
    </row>
    <row r="151" spans="1:32" s="2335" customFormat="1" ht="11.45" customHeight="1">
      <c r="A151" s="910"/>
      <c r="B151" s="1552"/>
      <c r="C151" s="1552"/>
      <c r="D151" s="287"/>
      <c r="K151" s="1076"/>
      <c r="L151" s="1552"/>
      <c r="M151" s="1552"/>
      <c r="N151" s="1076"/>
      <c r="O151" s="1076"/>
      <c r="P151" s="1076"/>
      <c r="Q151" s="1076"/>
      <c r="R151" s="1552"/>
      <c r="S151" s="1076"/>
      <c r="T151" s="1076"/>
      <c r="U151" s="480"/>
      <c r="V151" s="1076"/>
      <c r="W151" s="1076"/>
      <c r="X151" s="1076"/>
      <c r="Y151" s="1076"/>
      <c r="Z151" s="1076"/>
      <c r="AA151" s="1548"/>
      <c r="AB151" s="502"/>
      <c r="AC151" s="502"/>
      <c r="AD151" s="502"/>
      <c r="AE151" s="502"/>
      <c r="AF151" s="1557">
        <v>11</v>
      </c>
    </row>
    <row r="152" spans="1:32" s="2335" customFormat="1" ht="11.45" customHeight="1">
      <c r="A152" s="910"/>
      <c r="B152" s="1552"/>
      <c r="C152" s="1552"/>
      <c r="D152" s="287"/>
      <c r="K152" s="1076"/>
      <c r="L152" s="1552"/>
      <c r="M152" s="1552"/>
      <c r="N152" s="1076"/>
      <c r="O152" s="1076"/>
      <c r="P152" s="1076"/>
      <c r="Q152" s="1076"/>
      <c r="R152" s="1552"/>
      <c r="S152" s="1076"/>
      <c r="T152" s="1076"/>
      <c r="U152" s="480"/>
      <c r="V152" s="1076"/>
      <c r="W152" s="1076"/>
      <c r="X152" s="1076"/>
      <c r="Y152" s="1076"/>
      <c r="Z152" s="1076"/>
      <c r="AA152" s="1548"/>
      <c r="AB152" s="502"/>
      <c r="AC152" s="502"/>
      <c r="AD152" s="502"/>
      <c r="AE152" s="502"/>
      <c r="AF152" s="1557">
        <v>11</v>
      </c>
    </row>
    <row r="153" spans="1:32" s="2335" customFormat="1" ht="11.45" customHeight="1">
      <c r="A153" s="910"/>
      <c r="B153" s="1552"/>
      <c r="C153" s="1552"/>
      <c r="D153" s="287"/>
      <c r="K153" s="1076"/>
      <c r="L153" s="1552"/>
      <c r="M153" s="1552"/>
      <c r="N153" s="1076"/>
      <c r="O153" s="1076"/>
      <c r="P153" s="1076"/>
      <c r="Q153" s="1076"/>
      <c r="R153" s="1552"/>
      <c r="S153" s="1076"/>
      <c r="T153" s="1076"/>
      <c r="U153" s="480"/>
      <c r="V153" s="1076"/>
      <c r="W153" s="1076"/>
      <c r="X153" s="1076"/>
      <c r="Y153" s="1076"/>
      <c r="Z153" s="1076"/>
      <c r="AA153" s="1548"/>
      <c r="AB153" s="502"/>
      <c r="AC153" s="502"/>
      <c r="AD153" s="502"/>
      <c r="AE153" s="502"/>
      <c r="AF153" s="1557">
        <v>11</v>
      </c>
    </row>
    <row r="154" spans="1:32" s="2335" customFormat="1" ht="11.45" customHeight="1">
      <c r="A154" s="910"/>
      <c r="B154" s="1552"/>
      <c r="C154" s="1552"/>
      <c r="D154" s="287"/>
      <c r="K154" s="1076"/>
      <c r="L154" s="1552"/>
      <c r="M154" s="1552"/>
      <c r="N154" s="1076"/>
      <c r="O154" s="1076"/>
      <c r="P154" s="1076"/>
      <c r="Q154" s="1076"/>
      <c r="R154" s="1552"/>
      <c r="S154" s="1076"/>
      <c r="T154" s="1076"/>
      <c r="U154" s="480"/>
      <c r="V154" s="1076"/>
      <c r="W154" s="1076"/>
      <c r="X154" s="1076"/>
      <c r="Y154" s="1076"/>
      <c r="Z154" s="1076"/>
      <c r="AA154" s="1548"/>
      <c r="AB154" s="502"/>
      <c r="AC154" s="502"/>
      <c r="AD154" s="502"/>
      <c r="AE154" s="502"/>
      <c r="AF154" s="1557">
        <v>11</v>
      </c>
    </row>
    <row r="155" spans="1:32" s="2335" customFormat="1" ht="11.45" customHeight="1">
      <c r="A155" s="910"/>
      <c r="B155" s="1552"/>
      <c r="C155" s="1552"/>
      <c r="D155" s="287"/>
      <c r="K155" s="1076"/>
      <c r="L155" s="1552"/>
      <c r="M155" s="1552"/>
      <c r="N155" s="1076"/>
      <c r="O155" s="1076"/>
      <c r="P155" s="1076"/>
      <c r="Q155" s="1076"/>
      <c r="R155" s="1552"/>
      <c r="S155" s="1076"/>
      <c r="T155" s="1076"/>
      <c r="U155" s="480"/>
      <c r="V155" s="1076"/>
      <c r="W155" s="1076"/>
      <c r="X155" s="1076"/>
      <c r="Y155" s="1076"/>
      <c r="Z155" s="1076"/>
      <c r="AA155" s="1548"/>
      <c r="AB155" s="502"/>
      <c r="AC155" s="502"/>
      <c r="AD155" s="502"/>
      <c r="AE155" s="502"/>
      <c r="AF155" s="1557">
        <v>11</v>
      </c>
    </row>
    <row r="156" spans="1:32" s="2335" customFormat="1" ht="11.45" customHeight="1">
      <c r="A156" s="910"/>
      <c r="B156" s="1552"/>
      <c r="C156" s="1552"/>
      <c r="D156" s="287"/>
      <c r="K156" s="1076"/>
      <c r="L156" s="1552"/>
      <c r="M156" s="1552"/>
      <c r="N156" s="1076"/>
      <c r="O156" s="1076"/>
      <c r="P156" s="1076"/>
      <c r="Q156" s="1076"/>
      <c r="R156" s="1552"/>
      <c r="S156" s="1076"/>
      <c r="T156" s="1076"/>
      <c r="U156" s="480"/>
      <c r="V156" s="1076"/>
      <c r="W156" s="1076"/>
      <c r="X156" s="1076"/>
      <c r="Y156" s="1076"/>
      <c r="Z156" s="1076"/>
      <c r="AA156" s="1548"/>
      <c r="AB156" s="502"/>
      <c r="AC156" s="502"/>
      <c r="AD156" s="502"/>
      <c r="AE156" s="502"/>
      <c r="AF156" s="1557">
        <v>11</v>
      </c>
    </row>
    <row r="157" spans="1:32" s="2335" customFormat="1" ht="11.45" customHeight="1">
      <c r="A157" s="910"/>
      <c r="B157" s="1552"/>
      <c r="C157" s="1552"/>
      <c r="D157" s="287"/>
      <c r="K157" s="1076"/>
      <c r="L157" s="1552"/>
      <c r="M157" s="1552"/>
      <c r="N157" s="1076"/>
      <c r="O157" s="1076"/>
      <c r="P157" s="1076"/>
      <c r="Q157" s="1076"/>
      <c r="R157" s="1552"/>
      <c r="S157" s="1076"/>
      <c r="T157" s="1076"/>
      <c r="U157" s="480"/>
      <c r="V157" s="1076"/>
      <c r="W157" s="1076"/>
      <c r="X157" s="1076"/>
      <c r="Y157" s="1076"/>
      <c r="Z157" s="1076"/>
      <c r="AA157" s="1548"/>
      <c r="AB157" s="502"/>
      <c r="AC157" s="502"/>
      <c r="AD157" s="502"/>
      <c r="AE157" s="502"/>
      <c r="AF157" s="1557">
        <v>11</v>
      </c>
    </row>
    <row r="158" spans="1:32" s="2335" customFormat="1" ht="11.45" customHeight="1">
      <c r="A158" s="910"/>
      <c r="B158" s="1552"/>
      <c r="C158" s="1552"/>
      <c r="D158" s="287"/>
      <c r="K158" s="1076"/>
      <c r="L158" s="1552"/>
      <c r="M158" s="1552"/>
      <c r="N158" s="1076"/>
      <c r="O158" s="1076"/>
      <c r="P158" s="1076"/>
      <c r="Q158" s="1076"/>
      <c r="R158" s="1552"/>
      <c r="S158" s="1076"/>
      <c r="T158" s="1076"/>
      <c r="U158" s="480"/>
      <c r="V158" s="1076"/>
      <c r="W158" s="1076"/>
      <c r="X158" s="1076"/>
      <c r="Y158" s="1076"/>
      <c r="Z158" s="1076"/>
      <c r="AA158" s="1548"/>
      <c r="AB158" s="502"/>
      <c r="AC158" s="502"/>
      <c r="AD158" s="502"/>
      <c r="AE158" s="502"/>
      <c r="AF158" s="1557">
        <v>11</v>
      </c>
    </row>
    <row r="159" spans="1:32" s="2335" customFormat="1" ht="11.45" customHeight="1">
      <c r="A159" s="910"/>
      <c r="B159" s="1552"/>
      <c r="C159" s="1552"/>
      <c r="D159" s="287"/>
      <c r="K159" s="1076"/>
      <c r="L159" s="1552"/>
      <c r="M159" s="1552"/>
      <c r="N159" s="1076"/>
      <c r="O159" s="1076"/>
      <c r="P159" s="1076"/>
      <c r="Q159" s="1076"/>
      <c r="R159" s="1552"/>
      <c r="S159" s="1076"/>
      <c r="T159" s="1076"/>
      <c r="U159" s="480"/>
      <c r="V159" s="1076"/>
      <c r="W159" s="1076"/>
      <c r="X159" s="1076"/>
      <c r="Y159" s="1076"/>
      <c r="Z159" s="1076"/>
      <c r="AA159" s="1548"/>
      <c r="AB159" s="502"/>
      <c r="AC159" s="502"/>
      <c r="AD159" s="502"/>
      <c r="AE159" s="502"/>
      <c r="AF159" s="1557">
        <v>11</v>
      </c>
    </row>
    <row r="160" spans="1:32" s="2335" customFormat="1" ht="11.45" customHeight="1">
      <c r="A160" s="910"/>
      <c r="B160" s="1552"/>
      <c r="C160" s="1552"/>
      <c r="D160" s="287"/>
      <c r="K160" s="1076"/>
      <c r="L160" s="1552"/>
      <c r="M160" s="1552"/>
      <c r="N160" s="1076"/>
      <c r="O160" s="1076"/>
      <c r="P160" s="1076"/>
      <c r="Q160" s="1076"/>
      <c r="R160" s="1552"/>
      <c r="S160" s="1076"/>
      <c r="T160" s="1076"/>
      <c r="U160" s="480"/>
      <c r="V160" s="1076"/>
      <c r="W160" s="1076"/>
      <c r="X160" s="1076"/>
      <c r="Y160" s="1076"/>
      <c r="Z160" s="1076"/>
      <c r="AA160" s="1548"/>
      <c r="AB160" s="502"/>
      <c r="AC160" s="502"/>
      <c r="AD160" s="502"/>
      <c r="AE160" s="502"/>
      <c r="AF160" s="1557">
        <v>11</v>
      </c>
    </row>
    <row r="161" spans="1:32" s="2335" customFormat="1" ht="11.45" customHeight="1">
      <c r="A161" s="910"/>
      <c r="B161" s="1552"/>
      <c r="C161" s="1552"/>
      <c r="D161" s="287"/>
      <c r="K161" s="1076"/>
      <c r="L161" s="1552"/>
      <c r="M161" s="1552"/>
      <c r="N161" s="1076"/>
      <c r="O161" s="1076"/>
      <c r="P161" s="1076"/>
      <c r="Q161" s="1076"/>
      <c r="R161" s="1552"/>
      <c r="S161" s="1076"/>
      <c r="T161" s="1076"/>
      <c r="U161" s="480"/>
      <c r="V161" s="1076"/>
      <c r="W161" s="1076"/>
      <c r="X161" s="1076"/>
      <c r="Y161" s="1076"/>
      <c r="Z161" s="1076"/>
      <c r="AA161" s="1548"/>
      <c r="AB161" s="502"/>
      <c r="AC161" s="502"/>
      <c r="AD161" s="502"/>
      <c r="AE161" s="502"/>
      <c r="AF161" s="1557">
        <v>11</v>
      </c>
    </row>
    <row r="162" spans="1:32" s="2335" customFormat="1" ht="11.45" customHeight="1">
      <c r="A162" s="910"/>
      <c r="B162" s="1552"/>
      <c r="C162" s="1552"/>
      <c r="D162" s="287"/>
      <c r="K162" s="1076"/>
      <c r="L162" s="1552"/>
      <c r="M162" s="1552"/>
      <c r="N162" s="1076"/>
      <c r="O162" s="1076"/>
      <c r="P162" s="1076"/>
      <c r="Q162" s="1076"/>
      <c r="R162" s="1552"/>
      <c r="S162" s="1076"/>
      <c r="T162" s="1076"/>
      <c r="U162" s="480"/>
      <c r="V162" s="1076"/>
      <c r="W162" s="1076"/>
      <c r="X162" s="1076"/>
      <c r="Y162" s="1076"/>
      <c r="Z162" s="1076"/>
      <c r="AA162" s="1548"/>
      <c r="AB162" s="502"/>
      <c r="AC162" s="502"/>
      <c r="AD162" s="502"/>
      <c r="AE162" s="502"/>
      <c r="AF162" s="1557">
        <v>11</v>
      </c>
    </row>
    <row r="163" spans="1:32" s="2335" customFormat="1" ht="11.45" customHeight="1">
      <c r="A163" s="910"/>
      <c r="B163" s="1552"/>
      <c r="C163" s="1552"/>
      <c r="D163" s="287"/>
      <c r="K163" s="1076"/>
      <c r="L163" s="1552"/>
      <c r="M163" s="1552"/>
      <c r="N163" s="1076"/>
      <c r="O163" s="1076"/>
      <c r="P163" s="1076"/>
      <c r="Q163" s="1076"/>
      <c r="R163" s="1552"/>
      <c r="S163" s="1076"/>
      <c r="T163" s="1076"/>
      <c r="U163" s="480"/>
      <c r="V163" s="1076"/>
      <c r="W163" s="1076"/>
      <c r="X163" s="1076"/>
      <c r="Y163" s="1076"/>
      <c r="Z163" s="1076"/>
      <c r="AA163" s="1548"/>
      <c r="AB163" s="502"/>
      <c r="AC163" s="502"/>
      <c r="AD163" s="502"/>
      <c r="AE163" s="502"/>
      <c r="AF163" s="1557">
        <v>11</v>
      </c>
    </row>
    <row r="164" spans="1:32" s="2335" customFormat="1" ht="11.45" customHeight="1">
      <c r="A164" s="910"/>
      <c r="B164" s="1552"/>
      <c r="C164" s="1552"/>
      <c r="D164" s="287"/>
      <c r="K164" s="1076"/>
      <c r="L164" s="1552"/>
      <c r="M164" s="1552"/>
      <c r="N164" s="1076"/>
      <c r="O164" s="1076"/>
      <c r="P164" s="1076"/>
      <c r="Q164" s="1076"/>
      <c r="R164" s="1552"/>
      <c r="S164" s="1076"/>
      <c r="T164" s="1076"/>
      <c r="U164" s="480"/>
      <c r="V164" s="1076"/>
      <c r="W164" s="1076"/>
      <c r="X164" s="1076"/>
      <c r="Y164" s="1076"/>
      <c r="Z164" s="1076"/>
      <c r="AA164" s="1548"/>
      <c r="AB164" s="502"/>
      <c r="AC164" s="502"/>
      <c r="AD164" s="502"/>
      <c r="AE164" s="502"/>
      <c r="AF164" s="1557">
        <v>11</v>
      </c>
    </row>
    <row r="165" spans="1:32" s="2335" customFormat="1" ht="11.45" customHeight="1">
      <c r="A165" s="910"/>
      <c r="B165" s="1552"/>
      <c r="C165" s="1552"/>
      <c r="D165" s="287"/>
      <c r="K165" s="1076"/>
      <c r="L165" s="1552"/>
      <c r="M165" s="1552"/>
      <c r="N165" s="1076"/>
      <c r="O165" s="1076"/>
      <c r="P165" s="1076"/>
      <c r="Q165" s="1076"/>
      <c r="R165" s="1552"/>
      <c r="S165" s="1076"/>
      <c r="T165" s="1076"/>
      <c r="U165" s="480"/>
      <c r="V165" s="1076"/>
      <c r="W165" s="1076"/>
      <c r="X165" s="1076"/>
      <c r="Y165" s="1076"/>
      <c r="Z165" s="1076"/>
      <c r="AA165" s="1548"/>
      <c r="AB165" s="502"/>
      <c r="AC165" s="502"/>
      <c r="AD165" s="502"/>
      <c r="AE165" s="502"/>
      <c r="AF165" s="1557">
        <v>11</v>
      </c>
    </row>
    <row r="166" spans="1:32" s="2335" customFormat="1" ht="11.45" customHeight="1">
      <c r="A166" s="910"/>
      <c r="B166" s="1552"/>
      <c r="C166" s="1552"/>
      <c r="D166" s="287"/>
      <c r="K166" s="1076"/>
      <c r="L166" s="1552"/>
      <c r="M166" s="1552"/>
      <c r="N166" s="1076"/>
      <c r="O166" s="1076"/>
      <c r="P166" s="1076"/>
      <c r="Q166" s="1076"/>
      <c r="R166" s="1552"/>
      <c r="S166" s="1076"/>
      <c r="T166" s="1076"/>
      <c r="U166" s="480"/>
      <c r="V166" s="1076"/>
      <c r="W166" s="1076"/>
      <c r="X166" s="1076"/>
      <c r="Y166" s="1076"/>
      <c r="Z166" s="1076"/>
      <c r="AA166" s="1548"/>
      <c r="AB166" s="502"/>
      <c r="AC166" s="502"/>
      <c r="AD166" s="502"/>
      <c r="AE166" s="502"/>
      <c r="AF166" s="1557">
        <v>11</v>
      </c>
    </row>
    <row r="167" spans="1:32" s="2335" customFormat="1" ht="11.45" customHeight="1">
      <c r="A167" s="910"/>
      <c r="B167" s="1552"/>
      <c r="C167" s="1552"/>
      <c r="D167" s="287"/>
      <c r="K167" s="1076"/>
      <c r="L167" s="1552"/>
      <c r="M167" s="1552"/>
      <c r="N167" s="1076"/>
      <c r="O167" s="1076"/>
      <c r="P167" s="1076"/>
      <c r="Q167" s="1076"/>
      <c r="R167" s="1552"/>
      <c r="S167" s="1076"/>
      <c r="T167" s="1076"/>
      <c r="U167" s="480"/>
      <c r="V167" s="1076"/>
      <c r="W167" s="1076"/>
      <c r="X167" s="1076"/>
      <c r="Y167" s="1076"/>
      <c r="Z167" s="1076"/>
      <c r="AA167" s="1548"/>
      <c r="AB167" s="502"/>
      <c r="AC167" s="502"/>
      <c r="AD167" s="502"/>
      <c r="AE167" s="502"/>
      <c r="AF167" s="1557">
        <v>11</v>
      </c>
    </row>
    <row r="168" spans="1:32" s="2335" customFormat="1" ht="11.45" customHeight="1">
      <c r="A168" s="910"/>
      <c r="B168" s="1552"/>
      <c r="C168" s="1552"/>
      <c r="D168" s="287"/>
      <c r="K168" s="1076"/>
      <c r="L168" s="1552"/>
      <c r="M168" s="1552"/>
      <c r="N168" s="1076"/>
      <c r="O168" s="1076"/>
      <c r="P168" s="1076"/>
      <c r="Q168" s="1076"/>
      <c r="R168" s="1552"/>
      <c r="S168" s="1076"/>
      <c r="T168" s="1076"/>
      <c r="U168" s="480"/>
      <c r="V168" s="1076"/>
      <c r="W168" s="1076"/>
      <c r="X168" s="1076"/>
      <c r="Y168" s="1076"/>
      <c r="Z168" s="1076"/>
      <c r="AA168" s="1548"/>
      <c r="AB168" s="502"/>
      <c r="AC168" s="502"/>
      <c r="AD168" s="502"/>
      <c r="AE168" s="502"/>
      <c r="AF168" s="1557">
        <v>11</v>
      </c>
    </row>
    <row r="169" spans="1:32" s="2335" customFormat="1" ht="11.45" customHeight="1">
      <c r="A169" s="910"/>
      <c r="B169" s="1552"/>
      <c r="C169" s="1552"/>
      <c r="D169" s="287"/>
      <c r="K169" s="1076"/>
      <c r="L169" s="1552"/>
      <c r="M169" s="1552"/>
      <c r="N169" s="1076"/>
      <c r="O169" s="1076"/>
      <c r="P169" s="1076"/>
      <c r="Q169" s="1076"/>
      <c r="R169" s="1552"/>
      <c r="S169" s="1076"/>
      <c r="T169" s="1076"/>
      <c r="U169" s="480"/>
      <c r="V169" s="1076"/>
      <c r="W169" s="1076"/>
      <c r="X169" s="1076"/>
      <c r="Y169" s="1076"/>
      <c r="Z169" s="1076"/>
      <c r="AA169" s="1548"/>
      <c r="AB169" s="502"/>
      <c r="AC169" s="502"/>
      <c r="AD169" s="502"/>
      <c r="AE169" s="502"/>
      <c r="AF169" s="1557">
        <v>11</v>
      </c>
    </row>
    <row r="170" spans="1:32" s="2335" customFormat="1" ht="11.45" customHeight="1">
      <c r="A170" s="910"/>
      <c r="B170" s="1552"/>
      <c r="C170" s="1552"/>
      <c r="D170" s="287"/>
      <c r="K170" s="1076"/>
      <c r="L170" s="1552"/>
      <c r="M170" s="1552"/>
      <c r="N170" s="1076"/>
      <c r="O170" s="1076"/>
      <c r="P170" s="1076"/>
      <c r="Q170" s="1076"/>
      <c r="R170" s="1552"/>
      <c r="S170" s="1076"/>
      <c r="T170" s="1076"/>
      <c r="U170" s="480"/>
      <c r="V170" s="1076"/>
      <c r="W170" s="1076"/>
      <c r="X170" s="1076"/>
      <c r="Y170" s="1076"/>
      <c r="Z170" s="1076"/>
      <c r="AA170" s="1548"/>
      <c r="AB170" s="502"/>
      <c r="AC170" s="502"/>
      <c r="AD170" s="502"/>
      <c r="AE170" s="502"/>
      <c r="AF170" s="1557">
        <v>11</v>
      </c>
    </row>
    <row r="171" spans="1:32" s="2335" customFormat="1" ht="11.45" customHeight="1">
      <c r="A171" s="910"/>
      <c r="B171" s="1552"/>
      <c r="C171" s="1552"/>
      <c r="D171" s="287"/>
      <c r="K171" s="1076"/>
      <c r="L171" s="1552"/>
      <c r="M171" s="1552"/>
      <c r="N171" s="1076"/>
      <c r="O171" s="1076"/>
      <c r="P171" s="1076"/>
      <c r="Q171" s="1076"/>
      <c r="R171" s="1552"/>
      <c r="S171" s="1076"/>
      <c r="T171" s="1076"/>
      <c r="U171" s="480"/>
      <c r="V171" s="1076"/>
      <c r="W171" s="1076"/>
      <c r="X171" s="1076"/>
      <c r="Y171" s="1076"/>
      <c r="Z171" s="1076"/>
      <c r="AA171" s="1548"/>
      <c r="AB171" s="502"/>
      <c r="AC171" s="502"/>
      <c r="AD171" s="502"/>
      <c r="AE171" s="502"/>
      <c r="AF171" s="1557">
        <v>11</v>
      </c>
    </row>
    <row r="172" spans="1:32" s="2335" customFormat="1" ht="11.45" customHeight="1">
      <c r="A172" s="910"/>
      <c r="B172" s="1552"/>
      <c r="C172" s="1552"/>
      <c r="D172" s="287"/>
      <c r="K172" s="1076"/>
      <c r="L172" s="1552"/>
      <c r="M172" s="1552"/>
      <c r="N172" s="1076"/>
      <c r="O172" s="1076"/>
      <c r="P172" s="1076"/>
      <c r="Q172" s="1076"/>
      <c r="R172" s="1552"/>
      <c r="S172" s="1076"/>
      <c r="T172" s="1076"/>
      <c r="U172" s="480"/>
      <c r="V172" s="1076"/>
      <c r="W172" s="1076"/>
      <c r="X172" s="1076"/>
      <c r="Y172" s="1076"/>
      <c r="Z172" s="1076"/>
      <c r="AA172" s="1548"/>
      <c r="AB172" s="502"/>
      <c r="AC172" s="502"/>
      <c r="AD172" s="502"/>
      <c r="AE172" s="502"/>
      <c r="AF172" s="1557">
        <v>11</v>
      </c>
    </row>
    <row r="173" spans="1:32" s="2335" customFormat="1" ht="11.45" customHeight="1">
      <c r="A173" s="910"/>
      <c r="B173" s="1552"/>
      <c r="C173" s="1552"/>
      <c r="D173" s="287"/>
      <c r="K173" s="1076"/>
      <c r="L173" s="1552"/>
      <c r="M173" s="1552"/>
      <c r="N173" s="1076"/>
      <c r="O173" s="1076"/>
      <c r="P173" s="1076"/>
      <c r="Q173" s="1076"/>
      <c r="R173" s="1552"/>
      <c r="S173" s="1076"/>
      <c r="T173" s="1076"/>
      <c r="U173" s="480"/>
      <c r="V173" s="1076"/>
      <c r="W173" s="1076"/>
      <c r="X173" s="1076"/>
      <c r="Y173" s="1076"/>
      <c r="Z173" s="1076"/>
      <c r="AA173" s="1548"/>
      <c r="AB173" s="502"/>
      <c r="AC173" s="502"/>
      <c r="AD173" s="502"/>
      <c r="AE173" s="502"/>
      <c r="AF173" s="1557">
        <v>11</v>
      </c>
    </row>
    <row r="174" spans="1:32" s="2335" customFormat="1" ht="11.45" customHeight="1">
      <c r="A174" s="910"/>
      <c r="B174" s="1552"/>
      <c r="C174" s="1552"/>
      <c r="D174" s="287"/>
      <c r="K174" s="1076"/>
      <c r="L174" s="1552"/>
      <c r="M174" s="1552"/>
      <c r="N174" s="1076"/>
      <c r="O174" s="1076"/>
      <c r="P174" s="1076"/>
      <c r="Q174" s="1076"/>
      <c r="R174" s="1552"/>
      <c r="S174" s="1076"/>
      <c r="T174" s="1076"/>
      <c r="U174" s="480"/>
      <c r="V174" s="1076"/>
      <c r="W174" s="1076"/>
      <c r="X174" s="1076"/>
      <c r="Y174" s="1076"/>
      <c r="Z174" s="1076"/>
      <c r="AA174" s="1548"/>
      <c r="AB174" s="502"/>
      <c r="AC174" s="502"/>
      <c r="AD174" s="502"/>
      <c r="AE174" s="502"/>
      <c r="AF174" s="1557">
        <v>11</v>
      </c>
    </row>
    <row r="175" spans="1:32" s="2335" customFormat="1" ht="11.45" customHeight="1">
      <c r="A175" s="910"/>
      <c r="B175" s="1552"/>
      <c r="C175" s="1552"/>
      <c r="D175" s="287"/>
      <c r="K175" s="1076"/>
      <c r="L175" s="1552"/>
      <c r="M175" s="1552"/>
      <c r="N175" s="1076"/>
      <c r="O175" s="1076"/>
      <c r="P175" s="1076"/>
      <c r="Q175" s="1076"/>
      <c r="R175" s="1552"/>
      <c r="S175" s="1076"/>
      <c r="T175" s="1076"/>
      <c r="U175" s="480"/>
      <c r="V175" s="1076"/>
      <c r="W175" s="1076"/>
      <c r="X175" s="1076"/>
      <c r="Y175" s="1076"/>
      <c r="Z175" s="1076"/>
      <c r="AA175" s="1548"/>
      <c r="AB175" s="502"/>
      <c r="AC175" s="502"/>
      <c r="AD175" s="502"/>
      <c r="AE175" s="502"/>
      <c r="AF175" s="1557">
        <v>11</v>
      </c>
    </row>
    <row r="176" spans="1:32" s="2335" customFormat="1" ht="11.45" customHeight="1">
      <c r="A176" s="910"/>
      <c r="B176" s="1552"/>
      <c r="C176" s="1552"/>
      <c r="D176" s="287"/>
      <c r="K176" s="1076"/>
      <c r="L176" s="1552"/>
      <c r="M176" s="1552"/>
      <c r="N176" s="1076"/>
      <c r="O176" s="1076"/>
      <c r="P176" s="1076"/>
      <c r="Q176" s="1076"/>
      <c r="R176" s="1552"/>
      <c r="S176" s="1076"/>
      <c r="T176" s="1076"/>
      <c r="U176" s="480"/>
      <c r="V176" s="1076"/>
      <c r="W176" s="1076"/>
      <c r="X176" s="1076"/>
      <c r="Y176" s="1076"/>
      <c r="Z176" s="1076"/>
      <c r="AA176" s="1548"/>
      <c r="AB176" s="502"/>
      <c r="AC176" s="502"/>
      <c r="AD176" s="502"/>
      <c r="AE176" s="502"/>
      <c r="AF176" s="1557">
        <v>11</v>
      </c>
    </row>
    <row r="177" spans="1:32" s="2335" customFormat="1" ht="11.45" customHeight="1">
      <c r="A177" s="910"/>
      <c r="B177" s="1552"/>
      <c r="C177" s="1552"/>
      <c r="D177" s="287"/>
      <c r="K177" s="1076"/>
      <c r="L177" s="1552"/>
      <c r="M177" s="1552"/>
      <c r="N177" s="1076"/>
      <c r="O177" s="1076"/>
      <c r="P177" s="1076"/>
      <c r="Q177" s="1076"/>
      <c r="R177" s="1552"/>
      <c r="S177" s="1076"/>
      <c r="T177" s="1076"/>
      <c r="U177" s="480"/>
      <c r="V177" s="1076"/>
      <c r="W177" s="1076"/>
      <c r="X177" s="1076"/>
      <c r="Y177" s="1076"/>
      <c r="Z177" s="1076"/>
      <c r="AA177" s="1548"/>
      <c r="AB177" s="502"/>
      <c r="AC177" s="502"/>
      <c r="AD177" s="502"/>
      <c r="AE177" s="502"/>
      <c r="AF177" s="1557">
        <v>11</v>
      </c>
    </row>
    <row r="178" spans="1:32" s="2335" customFormat="1" ht="11.45" customHeight="1">
      <c r="A178" s="910"/>
      <c r="B178" s="1552"/>
      <c r="C178" s="1552"/>
      <c r="D178" s="287"/>
      <c r="K178" s="1076"/>
      <c r="L178" s="1552"/>
      <c r="M178" s="1552"/>
      <c r="N178" s="1076"/>
      <c r="O178" s="1076"/>
      <c r="P178" s="1076"/>
      <c r="Q178" s="1076"/>
      <c r="R178" s="1552"/>
      <c r="S178" s="1076"/>
      <c r="T178" s="1076"/>
      <c r="U178" s="480"/>
      <c r="V178" s="1076"/>
      <c r="W178" s="1076"/>
      <c r="X178" s="1076"/>
      <c r="Y178" s="1076"/>
      <c r="Z178" s="1076"/>
      <c r="AA178" s="1548"/>
      <c r="AB178" s="502"/>
      <c r="AC178" s="502"/>
      <c r="AD178" s="502"/>
      <c r="AE178" s="502"/>
      <c r="AF178" s="1557">
        <v>11</v>
      </c>
    </row>
    <row r="179" spans="1:32" s="2335" customFormat="1" ht="11.45" customHeight="1">
      <c r="A179" s="910"/>
      <c r="B179" s="1552"/>
      <c r="C179" s="1552"/>
      <c r="D179" s="287"/>
      <c r="K179" s="1076"/>
      <c r="L179" s="1552"/>
      <c r="M179" s="1552"/>
      <c r="N179" s="1076"/>
      <c r="O179" s="1076"/>
      <c r="P179" s="1076"/>
      <c r="Q179" s="1076"/>
      <c r="R179" s="1552"/>
      <c r="S179" s="1076"/>
      <c r="T179" s="1076"/>
      <c r="U179" s="480"/>
      <c r="V179" s="1076"/>
      <c r="W179" s="1076"/>
      <c r="X179" s="1076"/>
      <c r="Y179" s="1076"/>
      <c r="Z179" s="1076"/>
      <c r="AA179" s="1548"/>
      <c r="AB179" s="502"/>
      <c r="AC179" s="502"/>
      <c r="AD179" s="502"/>
      <c r="AE179" s="502"/>
      <c r="AF179" s="1557">
        <v>11</v>
      </c>
    </row>
    <row r="180" spans="1:32" s="2335" customFormat="1" ht="11.45" customHeight="1">
      <c r="A180" s="910"/>
      <c r="B180" s="1552"/>
      <c r="C180" s="1552"/>
      <c r="D180" s="287"/>
      <c r="K180" s="1076"/>
      <c r="L180" s="1552"/>
      <c r="M180" s="1552"/>
      <c r="N180" s="1076"/>
      <c r="O180" s="1076"/>
      <c r="P180" s="1076"/>
      <c r="Q180" s="1076"/>
      <c r="R180" s="1552"/>
      <c r="S180" s="1076"/>
      <c r="T180" s="1076"/>
      <c r="U180" s="480"/>
      <c r="V180" s="1076"/>
      <c r="W180" s="1076"/>
      <c r="X180" s="1076"/>
      <c r="Y180" s="1076"/>
      <c r="Z180" s="1076"/>
      <c r="AA180" s="1548"/>
      <c r="AB180" s="502"/>
      <c r="AC180" s="502"/>
      <c r="AD180" s="502"/>
      <c r="AE180" s="502"/>
      <c r="AF180" s="1557">
        <v>11</v>
      </c>
    </row>
    <row r="181" spans="1:32" s="2335" customFormat="1" ht="11.45" customHeight="1">
      <c r="A181" s="910"/>
      <c r="B181" s="1552"/>
      <c r="C181" s="1552"/>
      <c r="D181" s="287"/>
      <c r="K181" s="1076"/>
      <c r="L181" s="1552"/>
      <c r="M181" s="1552"/>
      <c r="N181" s="1076"/>
      <c r="O181" s="1076"/>
      <c r="P181" s="1076"/>
      <c r="Q181" s="1076"/>
      <c r="R181" s="1552"/>
      <c r="S181" s="1076"/>
      <c r="T181" s="1076"/>
      <c r="U181" s="480"/>
      <c r="V181" s="1076"/>
      <c r="W181" s="1076"/>
      <c r="X181" s="1076"/>
      <c r="Y181" s="1076"/>
      <c r="Z181" s="1076"/>
      <c r="AA181" s="1548"/>
      <c r="AB181" s="502"/>
      <c r="AC181" s="502"/>
      <c r="AD181" s="502"/>
      <c r="AE181" s="502"/>
      <c r="AF181" s="1557">
        <v>11</v>
      </c>
    </row>
    <row r="182" spans="1:32" s="2335" customFormat="1" ht="11.45" customHeight="1">
      <c r="A182" s="910"/>
      <c r="B182" s="1552"/>
      <c r="C182" s="1552"/>
      <c r="D182" s="287"/>
      <c r="K182" s="1076"/>
      <c r="L182" s="1552"/>
      <c r="M182" s="1552"/>
      <c r="N182" s="1076"/>
      <c r="O182" s="1076"/>
      <c r="P182" s="1076"/>
      <c r="Q182" s="1076"/>
      <c r="R182" s="1552"/>
      <c r="S182" s="1076"/>
      <c r="T182" s="1076"/>
      <c r="U182" s="480"/>
      <c r="V182" s="1076"/>
      <c r="W182" s="1076"/>
      <c r="X182" s="1076"/>
      <c r="Y182" s="1076"/>
      <c r="Z182" s="1076"/>
      <c r="AA182" s="1548"/>
      <c r="AB182" s="502"/>
      <c r="AC182" s="502"/>
      <c r="AD182" s="502"/>
      <c r="AE182" s="502"/>
      <c r="AF182" s="1557">
        <v>11</v>
      </c>
    </row>
    <row r="183" spans="1:32" s="2335" customFormat="1" ht="11.45" customHeight="1">
      <c r="A183" s="910"/>
      <c r="B183" s="1552"/>
      <c r="C183" s="1552"/>
      <c r="D183" s="287"/>
      <c r="K183" s="1076"/>
      <c r="L183" s="1552"/>
      <c r="M183" s="1552"/>
      <c r="N183" s="1076"/>
      <c r="O183" s="1076"/>
      <c r="P183" s="1076"/>
      <c r="Q183" s="1076"/>
      <c r="R183" s="1552"/>
      <c r="S183" s="1076"/>
      <c r="T183" s="1076"/>
      <c r="U183" s="480"/>
      <c r="V183" s="1076"/>
      <c r="W183" s="1076"/>
      <c r="X183" s="1076"/>
      <c r="Y183" s="1076"/>
      <c r="Z183" s="1076"/>
      <c r="AA183" s="1548"/>
      <c r="AB183" s="502"/>
      <c r="AC183" s="502"/>
      <c r="AD183" s="502"/>
      <c r="AE183" s="502"/>
      <c r="AF183" s="1557">
        <v>11</v>
      </c>
    </row>
    <row r="184" spans="1:32" s="2335" customFormat="1" ht="11.45" customHeight="1">
      <c r="A184" s="910"/>
      <c r="B184" s="1552"/>
      <c r="C184" s="1552"/>
      <c r="D184" s="287"/>
      <c r="K184" s="1076"/>
      <c r="L184" s="1552"/>
      <c r="M184" s="1552"/>
      <c r="N184" s="1076"/>
      <c r="O184" s="1076"/>
      <c r="P184" s="1076"/>
      <c r="Q184" s="1076"/>
      <c r="R184" s="1552"/>
      <c r="S184" s="1076"/>
      <c r="T184" s="1076"/>
      <c r="U184" s="480"/>
      <c r="V184" s="1076"/>
      <c r="W184" s="1076"/>
      <c r="X184" s="1076"/>
      <c r="Y184" s="1076"/>
      <c r="Z184" s="1076"/>
      <c r="AA184" s="1548"/>
      <c r="AB184" s="502"/>
      <c r="AC184" s="502"/>
      <c r="AD184" s="502"/>
      <c r="AE184" s="502"/>
      <c r="AF184" s="1557">
        <v>11</v>
      </c>
    </row>
    <row r="185" spans="1:32" s="2335" customFormat="1" ht="11.45" customHeight="1">
      <c r="A185" s="910"/>
      <c r="B185" s="1552"/>
      <c r="C185" s="1552"/>
      <c r="D185" s="287"/>
      <c r="K185" s="1076"/>
      <c r="L185" s="1552"/>
      <c r="M185" s="1552"/>
      <c r="N185" s="1076"/>
      <c r="O185" s="1076"/>
      <c r="P185" s="1076"/>
      <c r="Q185" s="1076"/>
      <c r="R185" s="1552"/>
      <c r="S185" s="1076"/>
      <c r="T185" s="1076"/>
      <c r="U185" s="480"/>
      <c r="V185" s="1076"/>
      <c r="W185" s="1076"/>
      <c r="X185" s="1076"/>
      <c r="Y185" s="1076"/>
      <c r="Z185" s="1076"/>
      <c r="AA185" s="1548"/>
      <c r="AB185" s="502"/>
      <c r="AC185" s="502"/>
      <c r="AD185" s="502"/>
      <c r="AE185" s="502"/>
      <c r="AF185" s="1557">
        <v>11</v>
      </c>
    </row>
    <row r="186" spans="1:32" s="2335" customFormat="1" ht="11.45" customHeight="1">
      <c r="A186" s="910"/>
      <c r="B186" s="1552"/>
      <c r="C186" s="1552"/>
      <c r="D186" s="287"/>
      <c r="K186" s="1076"/>
      <c r="L186" s="1552"/>
      <c r="M186" s="1552"/>
      <c r="N186" s="1076"/>
      <c r="O186" s="1076"/>
      <c r="P186" s="1076"/>
      <c r="Q186" s="1076"/>
      <c r="R186" s="1552"/>
      <c r="S186" s="1076"/>
      <c r="T186" s="1076"/>
      <c r="U186" s="480"/>
      <c r="V186" s="1076"/>
      <c r="W186" s="1076"/>
      <c r="X186" s="1076"/>
      <c r="Y186" s="1076"/>
      <c r="Z186" s="1076"/>
      <c r="AA186" s="1548"/>
      <c r="AB186" s="502"/>
      <c r="AC186" s="502"/>
      <c r="AD186" s="502"/>
      <c r="AE186" s="502"/>
      <c r="AF186" s="1557">
        <v>11</v>
      </c>
    </row>
    <row r="187" spans="1:32" s="2335" customFormat="1" ht="11.45" customHeight="1">
      <c r="A187" s="910"/>
      <c r="B187" s="1552"/>
      <c r="C187" s="1552"/>
      <c r="D187" s="287"/>
      <c r="K187" s="1076"/>
      <c r="L187" s="1552"/>
      <c r="M187" s="1552"/>
      <c r="N187" s="1076"/>
      <c r="O187" s="1076"/>
      <c r="P187" s="1076"/>
      <c r="Q187" s="1076"/>
      <c r="R187" s="1552"/>
      <c r="S187" s="1076"/>
      <c r="T187" s="1076"/>
      <c r="U187" s="480"/>
      <c r="V187" s="1076"/>
      <c r="W187" s="1076"/>
      <c r="X187" s="1076"/>
      <c r="Y187" s="1076"/>
      <c r="Z187" s="1076"/>
      <c r="AA187" s="1548"/>
      <c r="AB187" s="502"/>
      <c r="AC187" s="502"/>
      <c r="AD187" s="502"/>
      <c r="AE187" s="502"/>
      <c r="AF187" s="1557">
        <v>11</v>
      </c>
    </row>
    <row r="188" spans="1:32" s="2335" customFormat="1" ht="11.45" customHeight="1">
      <c r="A188" s="910"/>
      <c r="B188" s="1552"/>
      <c r="C188" s="1552"/>
      <c r="D188" s="287"/>
      <c r="K188" s="1076"/>
      <c r="L188" s="1552"/>
      <c r="M188" s="1552"/>
      <c r="N188" s="1076"/>
      <c r="O188" s="1076"/>
      <c r="P188" s="1076"/>
      <c r="Q188" s="1076"/>
      <c r="R188" s="1552"/>
      <c r="S188" s="1076"/>
      <c r="T188" s="1076"/>
      <c r="U188" s="480"/>
      <c r="V188" s="1076"/>
      <c r="W188" s="1076"/>
      <c r="X188" s="1076"/>
      <c r="Y188" s="1076"/>
      <c r="Z188" s="1076"/>
      <c r="AA188" s="1548"/>
      <c r="AB188" s="502"/>
      <c r="AC188" s="502"/>
      <c r="AD188" s="502"/>
      <c r="AE188" s="502"/>
      <c r="AF188" s="1557">
        <v>11</v>
      </c>
    </row>
    <row r="189" spans="1:32" s="2335" customFormat="1" ht="11.45" customHeight="1">
      <c r="A189" s="910"/>
      <c r="B189" s="1552"/>
      <c r="C189" s="1552"/>
      <c r="D189" s="287"/>
      <c r="K189" s="1076"/>
      <c r="L189" s="1552"/>
      <c r="M189" s="1552"/>
      <c r="N189" s="1076"/>
      <c r="O189" s="1076"/>
      <c r="P189" s="1076"/>
      <c r="Q189" s="1076"/>
      <c r="R189" s="1552"/>
      <c r="S189" s="1076"/>
      <c r="T189" s="1076"/>
      <c r="U189" s="480"/>
      <c r="V189" s="1076"/>
      <c r="W189" s="1076"/>
      <c r="X189" s="1076"/>
      <c r="Y189" s="1076"/>
      <c r="Z189" s="1076"/>
      <c r="AA189" s="1548"/>
      <c r="AB189" s="502"/>
      <c r="AC189" s="502"/>
      <c r="AD189" s="502"/>
      <c r="AE189" s="502"/>
      <c r="AF189" s="1557">
        <v>11</v>
      </c>
    </row>
    <row r="190" spans="1:32" s="2335" customFormat="1" ht="11.45" customHeight="1">
      <c r="A190" s="910"/>
      <c r="B190" s="1552"/>
      <c r="C190" s="1552"/>
      <c r="D190" s="287"/>
      <c r="K190" s="1076"/>
      <c r="L190" s="1552"/>
      <c r="M190" s="1552"/>
      <c r="N190" s="1076"/>
      <c r="O190" s="1076"/>
      <c r="P190" s="1076"/>
      <c r="Q190" s="1076"/>
      <c r="R190" s="1552"/>
      <c r="S190" s="1076"/>
      <c r="T190" s="1076"/>
      <c r="U190" s="480"/>
      <c r="V190" s="1076"/>
      <c r="W190" s="1076"/>
      <c r="X190" s="1076"/>
      <c r="Y190" s="1076"/>
      <c r="Z190" s="1076"/>
      <c r="AA190" s="1548"/>
      <c r="AB190" s="502"/>
      <c r="AC190" s="502"/>
      <c r="AD190" s="502"/>
      <c r="AE190" s="502"/>
      <c r="AF190" s="1557">
        <v>11</v>
      </c>
    </row>
    <row r="191" spans="1:32" s="2335" customFormat="1" ht="11.45" customHeight="1">
      <c r="A191" s="910"/>
      <c r="B191" s="1552"/>
      <c r="C191" s="1552"/>
      <c r="D191" s="287"/>
      <c r="K191" s="1076"/>
      <c r="L191" s="1552"/>
      <c r="M191" s="1552"/>
      <c r="N191" s="1076"/>
      <c r="O191" s="1076"/>
      <c r="P191" s="1076"/>
      <c r="Q191" s="1076"/>
      <c r="R191" s="1552"/>
      <c r="S191" s="1076"/>
      <c r="T191" s="1076"/>
      <c r="U191" s="480"/>
      <c r="V191" s="1076"/>
      <c r="W191" s="1076"/>
      <c r="X191" s="1076"/>
      <c r="Y191" s="1076"/>
      <c r="Z191" s="1076"/>
      <c r="AA191" s="1548"/>
      <c r="AB191" s="502"/>
      <c r="AC191" s="502"/>
      <c r="AD191" s="502"/>
      <c r="AE191" s="502"/>
      <c r="AF191" s="1557">
        <v>11</v>
      </c>
    </row>
    <row r="192" spans="1:32" s="2335" customFormat="1" ht="11.45" customHeight="1">
      <c r="A192" s="910"/>
      <c r="B192" s="1552"/>
      <c r="C192" s="1552"/>
      <c r="D192" s="287"/>
      <c r="K192" s="1076"/>
      <c r="L192" s="1552"/>
      <c r="M192" s="1552"/>
      <c r="N192" s="1076"/>
      <c r="O192" s="1076"/>
      <c r="P192" s="1076"/>
      <c r="Q192" s="1076"/>
      <c r="R192" s="1552"/>
      <c r="S192" s="1076"/>
      <c r="T192" s="1076"/>
      <c r="U192" s="480"/>
      <c r="V192" s="1076"/>
      <c r="W192" s="1076"/>
      <c r="X192" s="1076"/>
      <c r="Y192" s="1076"/>
      <c r="Z192" s="1076"/>
      <c r="AA192" s="1548"/>
      <c r="AB192" s="502"/>
      <c r="AC192" s="502"/>
      <c r="AD192" s="502"/>
      <c r="AE192" s="502"/>
      <c r="AF192" s="1557">
        <v>11</v>
      </c>
    </row>
    <row r="193" spans="1:32" s="2335" customFormat="1" ht="11.45" customHeight="1">
      <c r="A193" s="910"/>
      <c r="B193" s="1552"/>
      <c r="C193" s="1552"/>
      <c r="D193" s="287"/>
      <c r="K193" s="1076"/>
      <c r="L193" s="1552"/>
      <c r="M193" s="1552"/>
      <c r="N193" s="1076"/>
      <c r="O193" s="1076"/>
      <c r="P193" s="1076"/>
      <c r="Q193" s="1076"/>
      <c r="R193" s="1552"/>
      <c r="S193" s="1076"/>
      <c r="T193" s="1076"/>
      <c r="U193" s="480"/>
      <c r="V193" s="1076"/>
      <c r="W193" s="1076"/>
      <c r="X193" s="1076"/>
      <c r="Y193" s="1076"/>
      <c r="Z193" s="1076"/>
      <c r="AA193" s="1548"/>
      <c r="AB193" s="502"/>
      <c r="AC193" s="502"/>
      <c r="AD193" s="502"/>
      <c r="AE193" s="502"/>
      <c r="AF193" s="1557">
        <v>11</v>
      </c>
    </row>
    <row r="194" spans="1:32" s="2335" customFormat="1" ht="11.45" customHeight="1">
      <c r="A194" s="910"/>
      <c r="B194" s="1552"/>
      <c r="C194" s="1552"/>
      <c r="D194" s="287"/>
      <c r="K194" s="1076"/>
      <c r="L194" s="1552"/>
      <c r="M194" s="1552"/>
      <c r="N194" s="1076"/>
      <c r="O194" s="1076"/>
      <c r="P194" s="1076"/>
      <c r="Q194" s="1076"/>
      <c r="R194" s="1552"/>
      <c r="S194" s="1076"/>
      <c r="T194" s="1076"/>
      <c r="U194" s="480"/>
      <c r="V194" s="1076"/>
      <c r="W194" s="1076"/>
      <c r="X194" s="1076"/>
      <c r="Y194" s="1076"/>
      <c r="Z194" s="1076"/>
      <c r="AA194" s="1548"/>
      <c r="AB194" s="502"/>
      <c r="AC194" s="502"/>
      <c r="AD194" s="502"/>
      <c r="AE194" s="502"/>
      <c r="AF194" s="1557">
        <v>11</v>
      </c>
    </row>
    <row r="195" spans="1:32" s="2335" customFormat="1" ht="11.45" customHeight="1">
      <c r="A195" s="910"/>
      <c r="B195" s="1552"/>
      <c r="C195" s="1552"/>
      <c r="D195" s="287"/>
      <c r="K195" s="1076"/>
      <c r="L195" s="1552"/>
      <c r="M195" s="1552"/>
      <c r="N195" s="1076"/>
      <c r="O195" s="1076"/>
      <c r="P195" s="1076"/>
      <c r="Q195" s="1076"/>
      <c r="R195" s="1552"/>
      <c r="S195" s="1076"/>
      <c r="T195" s="1076"/>
      <c r="U195" s="480"/>
      <c r="V195" s="1076"/>
      <c r="W195" s="1076"/>
      <c r="X195" s="1076"/>
      <c r="Y195" s="1076"/>
      <c r="Z195" s="1076"/>
      <c r="AA195" s="1548"/>
      <c r="AB195" s="502"/>
      <c r="AC195" s="502"/>
      <c r="AD195" s="502"/>
      <c r="AE195" s="502"/>
      <c r="AF195" s="1557">
        <v>11</v>
      </c>
    </row>
    <row r="196" spans="1:32" s="2335" customFormat="1" ht="11.45" customHeight="1">
      <c r="A196" s="910"/>
      <c r="B196" s="1552"/>
      <c r="C196" s="1552"/>
      <c r="D196" s="287"/>
      <c r="K196" s="1076"/>
      <c r="L196" s="1552"/>
      <c r="M196" s="1552"/>
      <c r="N196" s="1076"/>
      <c r="O196" s="1076"/>
      <c r="P196" s="1076"/>
      <c r="Q196" s="1076"/>
      <c r="R196" s="1552"/>
      <c r="S196" s="1076"/>
      <c r="T196" s="1076"/>
      <c r="U196" s="480"/>
      <c r="V196" s="1076"/>
      <c r="W196" s="1076"/>
      <c r="X196" s="1076"/>
      <c r="Y196" s="1076"/>
      <c r="Z196" s="1076"/>
      <c r="AA196" s="1548"/>
      <c r="AB196" s="502"/>
      <c r="AC196" s="502"/>
      <c r="AD196" s="502"/>
      <c r="AE196" s="502"/>
      <c r="AF196" s="1557">
        <v>11</v>
      </c>
    </row>
    <row r="197" spans="1:32" s="2335" customFormat="1" ht="11.45" customHeight="1">
      <c r="A197" s="910"/>
      <c r="B197" s="1552"/>
      <c r="C197" s="1552"/>
      <c r="D197" s="287"/>
      <c r="K197" s="1076"/>
      <c r="L197" s="1552"/>
      <c r="M197" s="1552"/>
      <c r="N197" s="1076"/>
      <c r="O197" s="1076"/>
      <c r="P197" s="1076"/>
      <c r="Q197" s="1076"/>
      <c r="R197" s="1552"/>
      <c r="S197" s="1076"/>
      <c r="T197" s="1076"/>
      <c r="U197" s="480"/>
      <c r="V197" s="1076"/>
      <c r="W197" s="1076"/>
      <c r="X197" s="1076"/>
      <c r="Y197" s="1076"/>
      <c r="Z197" s="1076"/>
      <c r="AA197" s="1548"/>
      <c r="AB197" s="502"/>
      <c r="AC197" s="502"/>
      <c r="AD197" s="502"/>
      <c r="AE197" s="502"/>
      <c r="AF197" s="1557">
        <v>11</v>
      </c>
    </row>
    <row r="198" spans="1:32" s="2335" customFormat="1" ht="11.45" customHeight="1">
      <c r="A198" s="910"/>
      <c r="B198" s="1552"/>
      <c r="C198" s="1552"/>
      <c r="D198" s="287"/>
      <c r="K198" s="1076"/>
      <c r="L198" s="1552"/>
      <c r="M198" s="1552"/>
      <c r="N198" s="1076"/>
      <c r="O198" s="1076"/>
      <c r="P198" s="1076"/>
      <c r="Q198" s="1076"/>
      <c r="R198" s="1552"/>
      <c r="S198" s="1076"/>
      <c r="T198" s="1076"/>
      <c r="U198" s="480"/>
      <c r="V198" s="1076"/>
      <c r="W198" s="1076"/>
      <c r="X198" s="1076"/>
      <c r="Y198" s="1076"/>
      <c r="Z198" s="1076"/>
      <c r="AA198" s="1548"/>
      <c r="AB198" s="502"/>
      <c r="AC198" s="502"/>
      <c r="AD198" s="502"/>
      <c r="AE198" s="502"/>
      <c r="AF198" s="1557">
        <v>11</v>
      </c>
    </row>
    <row r="199" spans="1:32" s="2335" customFormat="1" ht="11.45" customHeight="1">
      <c r="A199" s="910"/>
      <c r="B199" s="1552"/>
      <c r="C199" s="1552"/>
      <c r="D199" s="287"/>
      <c r="K199" s="1076"/>
      <c r="L199" s="1552"/>
      <c r="M199" s="1552"/>
      <c r="N199" s="1076"/>
      <c r="O199" s="1076"/>
      <c r="P199" s="1076"/>
      <c r="Q199" s="1076"/>
      <c r="R199" s="1552"/>
      <c r="S199" s="1076"/>
      <c r="T199" s="1076"/>
      <c r="U199" s="480"/>
      <c r="V199" s="1076"/>
      <c r="W199" s="1076"/>
      <c r="X199" s="1076"/>
      <c r="Y199" s="1076"/>
      <c r="Z199" s="1076"/>
      <c r="AA199" s="1548"/>
      <c r="AB199" s="502"/>
      <c r="AC199" s="502"/>
      <c r="AD199" s="502"/>
      <c r="AE199" s="502"/>
      <c r="AF199" s="1557">
        <v>11</v>
      </c>
    </row>
    <row r="200" spans="1:32" s="2335" customFormat="1" ht="11.45" customHeight="1">
      <c r="A200" s="910"/>
      <c r="B200" s="1552"/>
      <c r="C200" s="1552"/>
      <c r="D200" s="287"/>
      <c r="K200" s="1076"/>
      <c r="L200" s="1552"/>
      <c r="M200" s="1552"/>
      <c r="N200" s="1076"/>
      <c r="O200" s="1076"/>
      <c r="P200" s="1076"/>
      <c r="Q200" s="1076"/>
      <c r="R200" s="1552"/>
      <c r="S200" s="1076"/>
      <c r="T200" s="1076"/>
      <c r="U200" s="480"/>
      <c r="V200" s="1076"/>
      <c r="W200" s="1076"/>
      <c r="X200" s="1076"/>
      <c r="Y200" s="1076"/>
      <c r="Z200" s="1076"/>
      <c r="AA200" s="1548"/>
      <c r="AB200" s="502"/>
      <c r="AC200" s="502"/>
      <c r="AD200" s="502"/>
      <c r="AE200" s="502"/>
      <c r="AF200" s="1557">
        <v>11</v>
      </c>
    </row>
    <row r="201" spans="1:32" s="2335" customFormat="1" ht="11.45" customHeight="1">
      <c r="A201" s="910"/>
      <c r="B201" s="1552"/>
      <c r="C201" s="1552"/>
      <c r="D201" s="287"/>
      <c r="K201" s="1076"/>
      <c r="L201" s="1552"/>
      <c r="M201" s="1552"/>
      <c r="N201" s="1076"/>
      <c r="O201" s="1076"/>
      <c r="P201" s="1076"/>
      <c r="Q201" s="1076"/>
      <c r="R201" s="1552"/>
      <c r="S201" s="1076"/>
      <c r="T201" s="1076"/>
      <c r="U201" s="480"/>
      <c r="V201" s="1076"/>
      <c r="W201" s="1076"/>
      <c r="X201" s="1076"/>
      <c r="Y201" s="1076"/>
      <c r="Z201" s="1076"/>
      <c r="AA201" s="1548"/>
      <c r="AB201" s="502"/>
      <c r="AC201" s="502"/>
      <c r="AD201" s="502"/>
      <c r="AE201" s="502"/>
      <c r="AF201" s="1557">
        <v>11</v>
      </c>
    </row>
    <row r="202" spans="1:32" s="2335" customFormat="1" ht="11.45" customHeight="1">
      <c r="A202" s="910"/>
      <c r="B202" s="1552"/>
      <c r="C202" s="1552"/>
      <c r="D202" s="287"/>
      <c r="K202" s="1076"/>
      <c r="L202" s="1552"/>
      <c r="M202" s="1552"/>
      <c r="N202" s="1076"/>
      <c r="O202" s="1076"/>
      <c r="P202" s="1076"/>
      <c r="Q202" s="1076"/>
      <c r="R202" s="1552"/>
      <c r="S202" s="1076"/>
      <c r="T202" s="1076"/>
      <c r="U202" s="480"/>
      <c r="V202" s="1076"/>
      <c r="W202" s="1076"/>
      <c r="X202" s="1076"/>
      <c r="Y202" s="1076"/>
      <c r="Z202" s="1076"/>
      <c r="AA202" s="1548"/>
      <c r="AB202" s="502"/>
      <c r="AC202" s="502"/>
      <c r="AD202" s="502"/>
      <c r="AE202" s="502"/>
      <c r="AF202" s="1557">
        <v>11</v>
      </c>
    </row>
    <row r="203" spans="1:32" s="2335" customFormat="1" ht="11.45" customHeight="1">
      <c r="A203" s="910"/>
      <c r="B203" s="1552"/>
      <c r="C203" s="1552"/>
      <c r="D203" s="287"/>
      <c r="K203" s="1076"/>
      <c r="L203" s="1552"/>
      <c r="M203" s="1552"/>
      <c r="N203" s="1076"/>
      <c r="O203" s="1076"/>
      <c r="P203" s="1076"/>
      <c r="Q203" s="1076"/>
      <c r="R203" s="1552"/>
      <c r="S203" s="1076"/>
      <c r="T203" s="1076"/>
      <c r="U203" s="480"/>
      <c r="V203" s="1076"/>
      <c r="W203" s="1076"/>
      <c r="X203" s="1076"/>
      <c r="Y203" s="1076"/>
      <c r="Z203" s="1076"/>
      <c r="AA203" s="1548"/>
      <c r="AB203" s="502"/>
      <c r="AC203" s="502"/>
      <c r="AD203" s="502"/>
      <c r="AE203" s="502"/>
      <c r="AF203" s="1557">
        <v>11</v>
      </c>
    </row>
    <row r="204" spans="1:32" s="2335" customFormat="1" ht="11.45" customHeight="1">
      <c r="A204" s="910"/>
      <c r="B204" s="1552"/>
      <c r="C204" s="1552"/>
      <c r="D204" s="287"/>
      <c r="K204" s="1076"/>
      <c r="L204" s="1552"/>
      <c r="M204" s="1552"/>
      <c r="N204" s="1076"/>
      <c r="O204" s="1076"/>
      <c r="P204" s="1076"/>
      <c r="Q204" s="1076"/>
      <c r="R204" s="1552"/>
      <c r="S204" s="1076"/>
      <c r="T204" s="1076"/>
      <c r="U204" s="480"/>
      <c r="V204" s="1076"/>
      <c r="W204" s="1076"/>
      <c r="X204" s="1076"/>
      <c r="Y204" s="1076"/>
      <c r="Z204" s="1076"/>
      <c r="AA204" s="1548"/>
      <c r="AB204" s="502"/>
      <c r="AC204" s="502"/>
      <c r="AD204" s="502"/>
      <c r="AE204" s="502"/>
      <c r="AF204" s="1557">
        <v>11</v>
      </c>
    </row>
    <row r="205" spans="1:32" ht="11.45" customHeight="1">
      <c r="AF205" s="1547">
        <v>11</v>
      </c>
    </row>
    <row r="206" spans="1:32" ht="11.45" customHeight="1">
      <c r="AF206" s="1547">
        <v>11</v>
      </c>
    </row>
    <row r="207" spans="1:32" ht="11.45" customHeight="1">
      <c r="AF207" s="1547">
        <v>11</v>
      </c>
    </row>
    <row r="208" spans="1:32" ht="11.45" customHeight="1">
      <c r="A208" s="913"/>
      <c r="B208" s="1547"/>
      <c r="D208" s="1547"/>
      <c r="K208" s="1547"/>
      <c r="N208" s="1547"/>
      <c r="O208" s="1547"/>
      <c r="P208" s="1547"/>
      <c r="Q208" s="1547"/>
      <c r="S208" s="1547"/>
      <c r="T208" s="1547"/>
      <c r="U208" s="1547"/>
      <c r="V208" s="1547"/>
      <c r="W208" s="1547"/>
      <c r="X208" s="1547"/>
      <c r="Y208" s="1547"/>
      <c r="Z208" s="1547"/>
      <c r="AA208" s="1547"/>
      <c r="AB208" s="1547"/>
      <c r="AC208" s="1547"/>
      <c r="AD208" s="1547"/>
      <c r="AE208" s="1547"/>
      <c r="AF208" s="1547">
        <v>11</v>
      </c>
    </row>
    <row r="209" spans="1:32" ht="11.45" customHeight="1">
      <c r="A209" s="913"/>
      <c r="B209" s="1547"/>
      <c r="D209" s="1547"/>
      <c r="K209" s="1547"/>
      <c r="N209" s="1547"/>
      <c r="O209" s="1547"/>
      <c r="P209" s="1547"/>
      <c r="Q209" s="1547"/>
      <c r="S209" s="1547"/>
      <c r="T209" s="1547"/>
      <c r="U209" s="1547"/>
      <c r="V209" s="1547"/>
      <c r="W209" s="1547"/>
      <c r="X209" s="1547"/>
      <c r="Y209" s="1547"/>
      <c r="Z209" s="1547"/>
      <c r="AA209" s="1547"/>
      <c r="AB209" s="1547"/>
      <c r="AC209" s="1547"/>
      <c r="AD209" s="1547"/>
      <c r="AE209" s="1547"/>
      <c r="AF209" s="1547">
        <v>11</v>
      </c>
    </row>
    <row r="210" spans="1:32" ht="11.45" customHeight="1">
      <c r="A210" s="913"/>
      <c r="B210" s="1547"/>
      <c r="D210" s="1547"/>
      <c r="K210" s="1547"/>
      <c r="N210" s="1547"/>
      <c r="O210" s="1547"/>
      <c r="P210" s="1547"/>
      <c r="Q210" s="1547"/>
      <c r="S210" s="1547"/>
      <c r="T210" s="1547"/>
      <c r="U210" s="1547"/>
      <c r="V210" s="1547"/>
      <c r="W210" s="1547"/>
      <c r="X210" s="1547"/>
      <c r="Y210" s="1547"/>
      <c r="Z210" s="1547"/>
      <c r="AA210" s="1547"/>
      <c r="AB210" s="1547"/>
      <c r="AC210" s="1547"/>
      <c r="AD210" s="1547"/>
      <c r="AE210" s="1547"/>
      <c r="AF210" s="1547">
        <v>11</v>
      </c>
    </row>
    <row r="211" spans="1:32" ht="11.45" customHeight="1">
      <c r="A211" s="913"/>
      <c r="B211" s="1547"/>
      <c r="D211" s="1547"/>
      <c r="K211" s="1547"/>
      <c r="N211" s="1547"/>
      <c r="O211" s="1547"/>
      <c r="P211" s="1547"/>
      <c r="Q211" s="1547"/>
      <c r="S211" s="1547"/>
      <c r="T211" s="1547"/>
      <c r="U211" s="1547"/>
      <c r="V211" s="1547"/>
      <c r="W211" s="1547"/>
      <c r="X211" s="1547"/>
      <c r="Y211" s="1547"/>
      <c r="Z211" s="1547"/>
      <c r="AA211" s="1547"/>
      <c r="AB211" s="1547"/>
      <c r="AC211" s="1547"/>
      <c r="AD211" s="1547"/>
      <c r="AE211" s="1547"/>
      <c r="AF211" s="1547">
        <v>11</v>
      </c>
    </row>
    <row r="212" spans="1:32" ht="11.45" customHeight="1">
      <c r="A212" s="913"/>
      <c r="B212" s="1547"/>
      <c r="D212" s="1547"/>
      <c r="K212" s="1547"/>
      <c r="N212" s="1547"/>
      <c r="O212" s="1547"/>
      <c r="P212" s="1547"/>
      <c r="Q212" s="1547"/>
      <c r="S212" s="1547"/>
      <c r="T212" s="1547"/>
      <c r="U212" s="1547"/>
      <c r="V212" s="1547"/>
      <c r="W212" s="1547"/>
      <c r="X212" s="1547"/>
      <c r="Y212" s="1547"/>
      <c r="Z212" s="1547"/>
      <c r="AA212" s="1547"/>
      <c r="AB212" s="1547"/>
      <c r="AC212" s="1547"/>
      <c r="AD212" s="1547"/>
      <c r="AE212" s="1547"/>
      <c r="AF212" s="1547">
        <v>11</v>
      </c>
    </row>
    <row r="213" spans="1:32" ht="11.45" customHeight="1">
      <c r="A213" s="913"/>
      <c r="B213" s="1547"/>
      <c r="D213" s="1547"/>
      <c r="K213" s="1547"/>
      <c r="N213" s="1547"/>
      <c r="O213" s="1547"/>
      <c r="P213" s="1547"/>
      <c r="Q213" s="1547"/>
      <c r="S213" s="1547"/>
      <c r="T213" s="1547"/>
      <c r="U213" s="1547"/>
      <c r="V213" s="1547"/>
      <c r="W213" s="1547"/>
      <c r="X213" s="1547"/>
      <c r="Y213" s="1547"/>
      <c r="Z213" s="1547"/>
      <c r="AA213" s="1547"/>
      <c r="AB213" s="1547"/>
      <c r="AC213" s="1547"/>
      <c r="AD213" s="1547"/>
      <c r="AE213" s="1547"/>
      <c r="AF213" s="1547">
        <v>11</v>
      </c>
    </row>
    <row r="214" spans="1:32" ht="11.45" customHeight="1">
      <c r="A214" s="913"/>
      <c r="B214" s="1547"/>
      <c r="D214" s="1547"/>
      <c r="K214" s="1547"/>
      <c r="N214" s="1547"/>
      <c r="O214" s="1547"/>
      <c r="P214" s="1547"/>
      <c r="Q214" s="1547"/>
      <c r="S214" s="1547"/>
      <c r="T214" s="1547"/>
      <c r="U214" s="1547"/>
      <c r="V214" s="1547"/>
      <c r="W214" s="1547"/>
      <c r="X214" s="1547"/>
      <c r="Y214" s="1547"/>
      <c r="Z214" s="1547"/>
      <c r="AA214" s="1547"/>
      <c r="AB214" s="1547"/>
      <c r="AC214" s="1547"/>
      <c r="AD214" s="1547"/>
      <c r="AE214" s="1547"/>
      <c r="AF214" s="1547">
        <v>11</v>
      </c>
    </row>
    <row r="215" spans="1:32" ht="11.45" customHeight="1">
      <c r="A215" s="913"/>
      <c r="B215" s="1547"/>
      <c r="D215" s="1547"/>
      <c r="K215" s="1547"/>
      <c r="N215" s="1547"/>
      <c r="O215" s="1547"/>
      <c r="P215" s="1547"/>
      <c r="Q215" s="1547"/>
      <c r="S215" s="1547"/>
      <c r="T215" s="1547"/>
      <c r="U215" s="1547"/>
      <c r="V215" s="1547"/>
      <c r="W215" s="1547"/>
      <c r="X215" s="1547"/>
      <c r="Y215" s="1547"/>
      <c r="Z215" s="1547"/>
      <c r="AA215" s="1547"/>
      <c r="AB215" s="1547"/>
      <c r="AC215" s="1547"/>
      <c r="AD215" s="1547"/>
      <c r="AE215" s="1547"/>
      <c r="AF215" s="1547">
        <v>11</v>
      </c>
    </row>
    <row r="216" spans="1:32" ht="11.45" customHeight="1">
      <c r="A216" s="913"/>
      <c r="B216" s="1547"/>
      <c r="D216" s="1547"/>
      <c r="K216" s="1547"/>
      <c r="N216" s="1547"/>
      <c r="O216" s="1547"/>
      <c r="P216" s="1547"/>
      <c r="Q216" s="1547"/>
      <c r="S216" s="1547"/>
      <c r="T216" s="1547"/>
      <c r="U216" s="1547"/>
      <c r="V216" s="1547"/>
      <c r="W216" s="1547"/>
      <c r="X216" s="1547"/>
      <c r="Y216" s="1547"/>
      <c r="Z216" s="1547"/>
      <c r="AA216" s="1547"/>
      <c r="AB216" s="1547"/>
      <c r="AC216" s="1547"/>
      <c r="AD216" s="1547"/>
      <c r="AE216" s="1547"/>
      <c r="AF216" s="1547">
        <v>11</v>
      </c>
    </row>
    <row r="217" spans="1:32" ht="11.45" customHeight="1">
      <c r="A217" s="913"/>
      <c r="B217" s="1547"/>
      <c r="D217" s="1547"/>
      <c r="K217" s="1547"/>
      <c r="N217" s="1547"/>
      <c r="O217" s="1547"/>
      <c r="P217" s="1547"/>
      <c r="Q217" s="1547"/>
      <c r="S217" s="1547"/>
      <c r="T217" s="1547"/>
      <c r="U217" s="1547"/>
      <c r="V217" s="1547"/>
      <c r="W217" s="1547"/>
      <c r="X217" s="1547"/>
      <c r="Y217" s="1547"/>
      <c r="Z217" s="1547"/>
      <c r="AA217" s="1547"/>
      <c r="AB217" s="1547"/>
      <c r="AC217" s="1547"/>
      <c r="AD217" s="1547"/>
      <c r="AE217" s="1547"/>
      <c r="AF217" s="1547">
        <v>11</v>
      </c>
    </row>
    <row r="218" spans="1:32" ht="11.45" customHeight="1">
      <c r="A218" s="913"/>
      <c r="B218" s="1547"/>
      <c r="D218" s="1547"/>
      <c r="K218" s="1547"/>
      <c r="N218" s="1547"/>
      <c r="O218" s="1547"/>
      <c r="P218" s="1547"/>
      <c r="Q218" s="1547"/>
      <c r="S218" s="1547"/>
      <c r="T218" s="1547"/>
      <c r="U218" s="1547"/>
      <c r="V218" s="1547"/>
      <c r="W218" s="1547"/>
      <c r="X218" s="1547"/>
      <c r="Y218" s="1547"/>
      <c r="Z218" s="1547"/>
      <c r="AA218" s="1547"/>
      <c r="AB218" s="1547"/>
      <c r="AC218" s="1547"/>
      <c r="AD218" s="1547"/>
      <c r="AE218" s="1547"/>
      <c r="AF218" s="1547">
        <v>11</v>
      </c>
    </row>
    <row r="219" spans="1:32" ht="11.25" hidden="1" customHeight="1">
      <c r="A219" s="910" t="s">
        <v>82</v>
      </c>
      <c r="B219" s="1076">
        <v>0</v>
      </c>
      <c r="C219" s="1552">
        <v>0</v>
      </c>
      <c r="D219" s="1551">
        <v>3</v>
      </c>
      <c r="E219" s="1547">
        <v>7</v>
      </c>
      <c r="F219" s="1547">
        <v>56</v>
      </c>
      <c r="G219" s="1547">
        <v>10</v>
      </c>
      <c r="H219" s="1547">
        <v>0</v>
      </c>
      <c r="I219" s="1547">
        <v>40</v>
      </c>
      <c r="J219" s="1547">
        <v>102</v>
      </c>
      <c r="K219" s="1076">
        <v>9</v>
      </c>
      <c r="L219" s="1552">
        <v>5</v>
      </c>
      <c r="M219" s="1552">
        <v>3</v>
      </c>
      <c r="N219" s="1076">
        <v>3</v>
      </c>
      <c r="O219" s="1076">
        <v>3</v>
      </c>
      <c r="P219" s="1076">
        <v>3</v>
      </c>
      <c r="Q219" s="1076">
        <v>3</v>
      </c>
      <c r="R219" s="1552">
        <v>10</v>
      </c>
      <c r="S219" s="1076">
        <v>34</v>
      </c>
      <c r="T219" s="1076">
        <v>9</v>
      </c>
      <c r="U219" s="480">
        <v>8</v>
      </c>
      <c r="V219" s="1076">
        <v>8</v>
      </c>
      <c r="W219" s="1076">
        <v>8</v>
      </c>
      <c r="X219" s="1076">
        <v>8</v>
      </c>
      <c r="Y219" s="1076">
        <v>8</v>
      </c>
      <c r="Z219" s="1076">
        <v>8</v>
      </c>
      <c r="AA219" s="1548">
        <v>8</v>
      </c>
      <c r="AB219" s="1548">
        <v>8</v>
      </c>
      <c r="AC219" s="1548">
        <v>8</v>
      </c>
      <c r="AD219" s="1548">
        <v>8</v>
      </c>
      <c r="AE219" s="1548">
        <v>8</v>
      </c>
      <c r="AF219" s="154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35:I37 H46:I48">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343" hidden="1" customWidth="1"/>
    <col min="2" max="2" width="16.85546875" style="2357" hidden="1" customWidth="1"/>
    <col min="3" max="3" width="5.5703125" style="2344" hidden="1" customWidth="1"/>
    <col min="4" max="4" width="3" style="2360" customWidth="1"/>
    <col min="5" max="5" width="7" style="2360" customWidth="1"/>
    <col min="6" max="6" width="54" style="2360" customWidth="1"/>
    <col min="7" max="7" width="10" style="2360" customWidth="1"/>
    <col min="8" max="8" width="40.7109375" style="2360" hidden="1" customWidth="1"/>
    <col min="9" max="9" width="40" style="2360" customWidth="1"/>
    <col min="10" max="10" width="102" style="2360" customWidth="1"/>
    <col min="11" max="11" width="9" style="2357" customWidth="1"/>
    <col min="12" max="12" width="5" style="2344" customWidth="1"/>
    <col min="13" max="13" width="3" style="2344" customWidth="1"/>
    <col min="14" max="17" width="3" style="2357" customWidth="1"/>
    <col min="18" max="18" width="10" style="2344" customWidth="1"/>
    <col min="19" max="19" width="34" style="2357" customWidth="1"/>
    <col min="20" max="20" width="9" style="2357" customWidth="1"/>
    <col min="21" max="21" width="8" style="2345" customWidth="1"/>
    <col min="22" max="26" width="8" style="2357" customWidth="1"/>
    <col min="27" max="31" width="8" style="2370" customWidth="1"/>
    <col min="32" max="32" width="9.140625" style="2360" hidden="1"/>
  </cols>
  <sheetData>
    <row r="1" spans="1:32" s="2357" customFormat="1" ht="22.5" hidden="1" customHeight="1">
      <c r="A1" s="910"/>
      <c r="C1" s="1552"/>
      <c r="D1" s="473"/>
      <c r="H1" s="1076">
        <v>4</v>
      </c>
      <c r="I1" s="1076">
        <v>4</v>
      </c>
      <c r="L1" s="1552"/>
      <c r="M1" s="1552"/>
      <c r="R1" s="1552"/>
      <c r="AF1" s="1076" t="s">
        <v>14</v>
      </c>
    </row>
    <row r="2" spans="1:32" s="2357" customFormat="1" ht="22.5" hidden="1" customHeight="1">
      <c r="A2" s="910"/>
      <c r="C2" s="1552"/>
      <c r="D2" s="474"/>
      <c r="E2" s="1574"/>
      <c r="F2" s="476"/>
      <c r="G2" s="1573" t="s">
        <v>551</v>
      </c>
      <c r="H2" s="477"/>
      <c r="I2" s="477"/>
      <c r="J2" s="478" t="s">
        <v>554</v>
      </c>
      <c r="K2" s="479"/>
      <c r="L2" s="1552"/>
      <c r="M2" s="1552"/>
      <c r="R2" s="1552"/>
      <c r="U2" s="480"/>
      <c r="AA2" s="1548"/>
      <c r="AB2" s="1548"/>
      <c r="AC2" s="1548"/>
      <c r="AD2" s="1548"/>
      <c r="AE2" s="1548"/>
      <c r="AF2" s="1076">
        <v>0</v>
      </c>
    </row>
    <row r="3" spans="1:32" ht="11.25" hidden="1" customHeight="1">
      <c r="AF3" s="1547">
        <v>0</v>
      </c>
    </row>
    <row r="4" spans="1:32" s="2370" customFormat="1" ht="11.25" hidden="1" customHeight="1">
      <c r="A4" s="910"/>
      <c r="B4" s="1076"/>
      <c r="C4" s="1552"/>
      <c r="D4" s="298"/>
      <c r="J4" s="1548">
        <v>4</v>
      </c>
      <c r="K4" s="1076"/>
      <c r="L4" s="1552"/>
      <c r="M4" s="1552"/>
      <c r="N4" s="1076"/>
      <c r="O4" s="1076"/>
      <c r="P4" s="1076"/>
      <c r="Q4" s="1076"/>
      <c r="R4" s="1552"/>
      <c r="S4" s="1076"/>
      <c r="T4" s="1076"/>
      <c r="U4" s="480"/>
      <c r="V4" s="1076"/>
      <c r="W4" s="1076"/>
      <c r="X4" s="1076"/>
      <c r="Y4" s="1076"/>
      <c r="Z4" s="1076"/>
      <c r="AF4" s="1548">
        <v>0</v>
      </c>
    </row>
    <row r="5" spans="1:32" ht="11.45" customHeight="1">
      <c r="AF5" s="1547">
        <v>11</v>
      </c>
    </row>
    <row r="6" spans="1:32" ht="33.75" customHeight="1">
      <c r="E6" s="2544" t="s">
        <v>867</v>
      </c>
      <c r="F6" s="2544"/>
      <c r="G6" s="2544"/>
      <c r="H6" s="2544"/>
      <c r="I6" s="2544"/>
      <c r="J6" s="492"/>
      <c r="AF6" s="1547">
        <v>32</v>
      </c>
    </row>
    <row r="7" spans="1:32" ht="25.15" customHeight="1">
      <c r="E7" s="2516" t="str">
        <f>IF(org=0,"Не определено",org)</f>
        <v>ООО "Пятигорсктеплосервис"</v>
      </c>
      <c r="F7" s="2516"/>
      <c r="G7" s="2516"/>
      <c r="H7" s="2516"/>
      <c r="I7" s="2516"/>
      <c r="AF7" s="1547">
        <v>24</v>
      </c>
    </row>
    <row r="8" spans="1:32" ht="11.45" customHeight="1">
      <c r="E8" s="1052"/>
      <c r="F8" s="1052"/>
      <c r="G8" s="1052"/>
      <c r="H8" s="1052"/>
      <c r="I8" s="1052"/>
      <c r="AF8" s="1547">
        <v>11</v>
      </c>
    </row>
    <row r="9" spans="1:32" s="2344" customFormat="1" ht="1.1499999999999999" customHeight="1">
      <c r="A9" s="1083"/>
      <c r="D9" s="1558"/>
      <c r="H9" s="814"/>
      <c r="I9" s="814" t="s">
        <v>117</v>
      </c>
      <c r="AF9" s="1552">
        <v>1</v>
      </c>
    </row>
    <row r="10" spans="1:32" ht="11.45" customHeight="1">
      <c r="E10" s="647"/>
      <c r="F10" s="2658" t="s">
        <v>105</v>
      </c>
      <c r="G10" s="2659"/>
      <c r="H10" s="1575" t="str">
        <f>IF(H9="","",INDEX(DIFFERENTIATION_UNMERGE_VD,MATCH(H9,DIFFERENTIATION_ID_DIFF,0)))</f>
        <v/>
      </c>
      <c r="I10" s="1575" t="str">
        <f>IF(I9="","",INDEX(DIFFERENTIATION_UNMERGE_VD,MATCH(I9,DIFFERENTIATION_ID_DIFF,0)))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435" t="s">
        <v>300</v>
      </c>
      <c r="AF10" s="1547">
        <v>11</v>
      </c>
    </row>
    <row r="11" spans="1:32" ht="11.45" customHeight="1">
      <c r="E11" s="647"/>
      <c r="F11" s="2658" t="s">
        <v>563</v>
      </c>
      <c r="G11" s="2659"/>
      <c r="H11" s="1575" t="str">
        <f>IF(H9="","",INDEX(DIFFERENTIATION_UNMERGE_AREA,MATCH(H9,DIFFERENTIATION_ID_DIFF,0)))</f>
        <v/>
      </c>
      <c r="I11" s="1575" t="str">
        <f>IF(I9="","",INDEX(DIFFERENTIATION_UNMERGE_AREA,MATCH(I9,DIFFERENTIATION_ID_DIFF,0)))</f>
        <v>без дифференциации</v>
      </c>
      <c r="J11" s="2435"/>
      <c r="AF11" s="1547">
        <v>11</v>
      </c>
    </row>
    <row r="12" spans="1:32" ht="11.25" hidden="1" customHeight="1">
      <c r="E12" s="1578"/>
      <c r="F12" s="2666" t="s">
        <v>564</v>
      </c>
      <c r="G12" s="2667"/>
      <c r="H12" s="1579" t="str">
        <f>IF(H9="","",INDEX(DIFFERENTIATION_UNMERGE_SYSTEM,MATCH(H9,DIFFERENTIATION_ID_DIFF,0)))</f>
        <v/>
      </c>
      <c r="I12" s="1579" t="str">
        <f>IF(I9="","",INDEX(DIFFERENTIATION_UNMERGE_SYSTEM,MATCH(I9,DIFFERENTIATION_ID_DIFF,0)))</f>
        <v>без дифференциации</v>
      </c>
      <c r="J12" s="2435"/>
      <c r="AF12" s="1547">
        <v>0</v>
      </c>
    </row>
    <row r="13" spans="1:32" ht="11.45" customHeight="1">
      <c r="E13" s="2660" t="s">
        <v>299</v>
      </c>
      <c r="F13" s="2661"/>
      <c r="G13" s="2661"/>
      <c r="H13" s="1572"/>
      <c r="I13" s="1572"/>
      <c r="J13" s="2435"/>
      <c r="AF13" s="1547">
        <v>11</v>
      </c>
    </row>
    <row r="14" spans="1:32" ht="24" customHeight="1">
      <c r="E14" s="1573" t="s">
        <v>88</v>
      </c>
      <c r="F14" s="1576" t="s">
        <v>301</v>
      </c>
      <c r="G14" s="1576" t="s">
        <v>565</v>
      </c>
      <c r="H14" s="1576" t="s">
        <v>302</v>
      </c>
      <c r="I14" s="1576" t="s">
        <v>302</v>
      </c>
      <c r="J14" s="2435"/>
      <c r="AF14" s="1547">
        <v>23</v>
      </c>
    </row>
    <row r="15" spans="1:32" ht="19.899999999999999" customHeight="1">
      <c r="D15" s="1554"/>
      <c r="E15" s="1546" t="s">
        <v>109</v>
      </c>
      <c r="F15" s="643" t="s">
        <v>868</v>
      </c>
      <c r="G15" s="1573" t="s">
        <v>551</v>
      </c>
      <c r="H15" s="493"/>
      <c r="I15" s="493"/>
      <c r="J15" s="226" t="s">
        <v>869</v>
      </c>
      <c r="K15" s="479" t="s">
        <v>717</v>
      </c>
      <c r="AF15" s="1547">
        <v>19</v>
      </c>
    </row>
    <row r="16" spans="1:32" ht="24" customHeight="1">
      <c r="D16" s="1554"/>
      <c r="E16" s="1546" t="s">
        <v>110</v>
      </c>
      <c r="F16" s="1581" t="s">
        <v>870</v>
      </c>
      <c r="G16" s="1573" t="s">
        <v>551</v>
      </c>
      <c r="H16" s="494">
        <f>SUM(H17,H20:H27)</f>
        <v>0</v>
      </c>
      <c r="I16" s="494">
        <f>SUM(I17,I20:I27)</f>
        <v>0</v>
      </c>
      <c r="J16" s="226" t="s">
        <v>871</v>
      </c>
      <c r="K16" s="479" t="s">
        <v>717</v>
      </c>
      <c r="AF16" s="1547">
        <v>23</v>
      </c>
    </row>
    <row r="17" spans="1:32" ht="35.65" customHeight="1">
      <c r="D17" s="1554"/>
      <c r="E17" s="1580" t="s">
        <v>795</v>
      </c>
      <c r="F17" s="1583" t="s">
        <v>872</v>
      </c>
      <c r="G17" s="1570" t="s">
        <v>551</v>
      </c>
      <c r="H17" s="493"/>
      <c r="I17" s="493"/>
      <c r="J17" s="226" t="s">
        <v>873</v>
      </c>
      <c r="K17" s="479"/>
      <c r="AF17" s="1547">
        <v>34</v>
      </c>
    </row>
    <row r="18" spans="1:32" ht="19.899999999999999" customHeight="1">
      <c r="D18" s="1554"/>
      <c r="E18" s="1580" t="s">
        <v>798</v>
      </c>
      <c r="F18" s="1584" t="s">
        <v>874</v>
      </c>
      <c r="G18" s="1570" t="s">
        <v>551</v>
      </c>
      <c r="H18" s="493"/>
      <c r="I18" s="493"/>
      <c r="J18" s="226"/>
      <c r="K18" s="479"/>
      <c r="AF18" s="1547">
        <v>19</v>
      </c>
    </row>
    <row r="19" spans="1:32" ht="24" customHeight="1">
      <c r="D19" s="1554"/>
      <c r="E19" s="1580" t="s">
        <v>801</v>
      </c>
      <c r="F19" s="1584" t="s">
        <v>875</v>
      </c>
      <c r="G19" s="1570" t="s">
        <v>551</v>
      </c>
      <c r="H19" s="493"/>
      <c r="I19" s="493"/>
      <c r="J19" s="226"/>
      <c r="K19" s="479"/>
      <c r="AF19" s="1547">
        <v>23</v>
      </c>
    </row>
    <row r="20" spans="1:32" ht="35.65" customHeight="1">
      <c r="D20" s="1554"/>
      <c r="E20" s="1580" t="s">
        <v>306</v>
      </c>
      <c r="F20" s="1583" t="s">
        <v>876</v>
      </c>
      <c r="G20" s="1570" t="s">
        <v>551</v>
      </c>
      <c r="H20" s="493"/>
      <c r="I20" s="493"/>
      <c r="J20" s="226"/>
      <c r="K20" s="479"/>
      <c r="AF20" s="1547">
        <v>34</v>
      </c>
    </row>
    <row r="21" spans="1:32" ht="48.2" customHeight="1">
      <c r="D21" s="1554"/>
      <c r="E21" s="1580" t="s">
        <v>309</v>
      </c>
      <c r="F21" s="1583" t="s">
        <v>877</v>
      </c>
      <c r="G21" s="1570" t="s">
        <v>551</v>
      </c>
      <c r="H21" s="493"/>
      <c r="I21" s="493"/>
      <c r="J21" s="226"/>
      <c r="K21" s="479"/>
      <c r="AF21" s="1547">
        <v>46</v>
      </c>
    </row>
    <row r="22" spans="1:32" ht="60" customHeight="1">
      <c r="D22" s="1554"/>
      <c r="E22" s="1580" t="s">
        <v>815</v>
      </c>
      <c r="F22" s="1583" t="s">
        <v>878</v>
      </c>
      <c r="G22" s="1570" t="s">
        <v>551</v>
      </c>
      <c r="H22" s="493"/>
      <c r="I22" s="493"/>
      <c r="J22" s="226"/>
      <c r="K22" s="479"/>
      <c r="AF22" s="1547">
        <v>57</v>
      </c>
    </row>
    <row r="23" spans="1:32" ht="35.65" customHeight="1">
      <c r="D23" s="1554"/>
      <c r="E23" s="1580" t="s">
        <v>822</v>
      </c>
      <c r="F23" s="1583" t="s">
        <v>879</v>
      </c>
      <c r="G23" s="1570" t="s">
        <v>551</v>
      </c>
      <c r="H23" s="493"/>
      <c r="I23" s="493"/>
      <c r="J23" s="226"/>
      <c r="K23" s="479"/>
      <c r="AF23" s="1547">
        <v>34</v>
      </c>
    </row>
    <row r="24" spans="1:32" ht="35.65" customHeight="1">
      <c r="D24" s="1554"/>
      <c r="E24" s="1580" t="s">
        <v>824</v>
      </c>
      <c r="F24" s="1583" t="s">
        <v>880</v>
      </c>
      <c r="G24" s="1570" t="s">
        <v>551</v>
      </c>
      <c r="H24" s="493"/>
      <c r="I24" s="493"/>
      <c r="J24" s="226"/>
      <c r="K24" s="479"/>
      <c r="AF24" s="1547">
        <v>34</v>
      </c>
    </row>
    <row r="25" spans="1:32" ht="24" customHeight="1">
      <c r="D25" s="1554"/>
      <c r="E25" s="1580" t="s">
        <v>826</v>
      </c>
      <c r="F25" s="1583" t="s">
        <v>881</v>
      </c>
      <c r="G25" s="1570" t="s">
        <v>551</v>
      </c>
      <c r="H25" s="493"/>
      <c r="I25" s="493"/>
      <c r="J25" s="226"/>
      <c r="K25" s="479"/>
      <c r="AF25" s="1547">
        <v>23</v>
      </c>
    </row>
    <row r="26" spans="1:32" ht="76.5" customHeight="1">
      <c r="D26" s="1554"/>
      <c r="E26" s="1580" t="s">
        <v>828</v>
      </c>
      <c r="F26" s="1583" t="s">
        <v>882</v>
      </c>
      <c r="G26" s="1570" t="s">
        <v>551</v>
      </c>
      <c r="H26" s="493"/>
      <c r="I26" s="493"/>
      <c r="J26" s="226"/>
      <c r="K26" s="479"/>
      <c r="AF26" s="1547">
        <v>73</v>
      </c>
    </row>
    <row r="27" spans="1:32" s="2357" customFormat="1" ht="35.65" customHeight="1">
      <c r="A27" s="910"/>
      <c r="C27" s="1552"/>
      <c r="D27" s="1554"/>
      <c r="E27" s="1545" t="s">
        <v>832</v>
      </c>
      <c r="F27" s="1544" t="s">
        <v>883</v>
      </c>
      <c r="G27" s="1571" t="s">
        <v>551</v>
      </c>
      <c r="H27" s="515">
        <f>SUM(H28:H29)</f>
        <v>0</v>
      </c>
      <c r="I27" s="515">
        <f>SUM(I28:I29)</f>
        <v>0</v>
      </c>
      <c r="J27" s="226" t="s">
        <v>830</v>
      </c>
      <c r="K27" s="479"/>
      <c r="L27" s="1552"/>
      <c r="M27" s="1552"/>
      <c r="R27" s="1552"/>
      <c r="U27" s="480"/>
      <c r="AA27" s="1548"/>
      <c r="AB27" s="1548"/>
      <c r="AC27" s="1548"/>
      <c r="AD27" s="1548"/>
      <c r="AE27" s="1548"/>
      <c r="AF27" s="1076">
        <v>34</v>
      </c>
    </row>
    <row r="28" spans="1:32" s="2344" customFormat="1" ht="1.1499999999999999" customHeight="1">
      <c r="A28" s="1083"/>
      <c r="D28" s="484"/>
      <c r="E28" s="732" t="str">
        <f>E27&amp;".0"</f>
        <v>2.9.0</v>
      </c>
      <c r="F28" s="914"/>
      <c r="G28" s="487"/>
      <c r="H28" s="915"/>
      <c r="I28" s="915"/>
      <c r="J28" s="916"/>
      <c r="AF28" s="1552">
        <v>1</v>
      </c>
    </row>
    <row r="29" spans="1:32" s="2357" customFormat="1" ht="19.899999999999999" customHeight="1">
      <c r="A29" s="910"/>
      <c r="C29" s="1552"/>
      <c r="D29" s="1549"/>
      <c r="E29" s="506"/>
      <c r="F29" s="1582" t="s">
        <v>584</v>
      </c>
      <c r="G29" s="508"/>
      <c r="H29" s="509" t="s">
        <v>22</v>
      </c>
      <c r="I29" s="509" t="s">
        <v>22</v>
      </c>
      <c r="J29" s="238" t="s">
        <v>831</v>
      </c>
      <c r="K29" s="479"/>
      <c r="L29" s="1552"/>
      <c r="M29" s="1552"/>
      <c r="R29" s="1552"/>
      <c r="U29" s="480"/>
      <c r="AA29" s="1548"/>
      <c r="AB29" s="1548"/>
      <c r="AC29" s="1548"/>
      <c r="AD29" s="1548"/>
      <c r="AE29" s="1548"/>
      <c r="AF29" s="1076">
        <v>19</v>
      </c>
    </row>
    <row r="30" spans="1:32" s="2398" customFormat="1" ht="76.5" customHeight="1">
      <c r="A30" s="2281"/>
      <c r="B30" s="2282"/>
      <c r="C30" s="2283"/>
      <c r="D30" s="2284"/>
      <c r="E30" s="2294" t="s">
        <v>884</v>
      </c>
      <c r="F30" s="2295" t="s">
        <v>839</v>
      </c>
      <c r="G30" s="2287" t="s">
        <v>551</v>
      </c>
      <c r="H30" s="2296"/>
      <c r="I30" s="2296"/>
      <c r="J30" s="2289" t="s">
        <v>885</v>
      </c>
      <c r="K30" s="2290"/>
      <c r="L30" s="2283"/>
      <c r="M30" s="2283"/>
      <c r="N30" s="2282"/>
      <c r="O30" s="2282"/>
      <c r="P30" s="2282"/>
      <c r="Q30" s="2282"/>
      <c r="R30" s="2283"/>
      <c r="S30" s="2282"/>
      <c r="T30" s="2282"/>
      <c r="U30" s="2291"/>
      <c r="V30" s="2282"/>
      <c r="W30" s="2282"/>
      <c r="X30" s="2282"/>
      <c r="Y30" s="2282"/>
      <c r="Z30" s="2282"/>
      <c r="AA30" s="2292"/>
      <c r="AB30" s="2292"/>
      <c r="AC30" s="2292"/>
      <c r="AD30" s="2292"/>
      <c r="AE30" s="2292"/>
      <c r="AF30" s="2293">
        <v>73</v>
      </c>
    </row>
    <row r="31" spans="1:32" s="2357" customFormat="1" ht="24" customHeight="1">
      <c r="A31" s="910"/>
      <c r="C31" s="1552"/>
      <c r="D31" s="1554"/>
      <c r="E31" s="1580" t="s">
        <v>90</v>
      </c>
      <c r="F31" s="1577" t="s">
        <v>886</v>
      </c>
      <c r="G31" s="1570" t="s">
        <v>551</v>
      </c>
      <c r="H31" s="493"/>
      <c r="I31" s="493"/>
      <c r="J31" s="226"/>
      <c r="K31" s="479"/>
      <c r="L31" s="1552"/>
      <c r="M31" s="1552"/>
      <c r="R31" s="1552"/>
      <c r="U31" s="480"/>
      <c r="AA31" s="1548"/>
      <c r="AB31" s="1548"/>
      <c r="AC31" s="1548"/>
      <c r="AD31" s="1548"/>
      <c r="AE31" s="1548"/>
      <c r="AF31" s="1076">
        <v>23</v>
      </c>
    </row>
    <row r="32" spans="1:32" s="2357" customFormat="1" ht="35.65" customHeight="1">
      <c r="A32" s="910"/>
      <c r="C32" s="1552"/>
      <c r="D32" s="511"/>
      <c r="E32" s="1580" t="s">
        <v>91</v>
      </c>
      <c r="F32" s="1577" t="s">
        <v>887</v>
      </c>
      <c r="G32" s="1570" t="s">
        <v>551</v>
      </c>
      <c r="H32" s="493"/>
      <c r="I32" s="493"/>
      <c r="J32" s="226" t="s">
        <v>888</v>
      </c>
      <c r="K32" s="479"/>
      <c r="L32" s="1552"/>
      <c r="M32" s="1552"/>
      <c r="R32" s="1552"/>
      <c r="U32" s="480"/>
      <c r="AA32" s="1548"/>
      <c r="AB32" s="1548"/>
      <c r="AC32" s="1548"/>
      <c r="AD32" s="1548"/>
      <c r="AE32" s="1548"/>
      <c r="AF32" s="1076">
        <v>34</v>
      </c>
    </row>
    <row r="33" spans="1:32" s="2357" customFormat="1" ht="24" customHeight="1">
      <c r="A33" s="910"/>
      <c r="C33" s="1552"/>
      <c r="D33" s="1554"/>
      <c r="E33" s="1580" t="s">
        <v>846</v>
      </c>
      <c r="F33" s="626" t="s">
        <v>850</v>
      </c>
      <c r="G33" s="1570" t="s">
        <v>551</v>
      </c>
      <c r="H33" s="493"/>
      <c r="I33" s="493"/>
      <c r="J33" s="226" t="s">
        <v>889</v>
      </c>
      <c r="K33" s="479"/>
      <c r="L33" s="1552"/>
      <c r="M33" s="1552"/>
      <c r="R33" s="1552"/>
      <c r="U33" s="480"/>
      <c r="AA33" s="1548"/>
      <c r="AB33" s="1548"/>
      <c r="AC33" s="1548"/>
      <c r="AD33" s="1548"/>
      <c r="AE33" s="1548"/>
      <c r="AF33" s="1076">
        <v>23</v>
      </c>
    </row>
    <row r="34" spans="1:32" s="2357" customFormat="1" ht="24" customHeight="1">
      <c r="A34" s="910"/>
      <c r="C34" s="1552"/>
      <c r="D34" s="1554"/>
      <c r="E34" s="1580" t="s">
        <v>890</v>
      </c>
      <c r="F34" s="626" t="s">
        <v>891</v>
      </c>
      <c r="G34" s="1570" t="s">
        <v>551</v>
      </c>
      <c r="H34" s="493"/>
      <c r="I34" s="493"/>
      <c r="J34" s="226" t="s">
        <v>892</v>
      </c>
      <c r="K34" s="479"/>
      <c r="L34" s="1552"/>
      <c r="M34" s="1552"/>
      <c r="R34" s="1552"/>
      <c r="U34" s="480"/>
      <c r="AA34" s="1548"/>
      <c r="AB34" s="1548"/>
      <c r="AC34" s="1548"/>
      <c r="AD34" s="1548"/>
      <c r="AE34" s="1548"/>
      <c r="AF34" s="1076">
        <v>23</v>
      </c>
    </row>
    <row r="35" spans="1:32" s="2357" customFormat="1" ht="24" customHeight="1">
      <c r="A35" s="910"/>
      <c r="C35" s="1552"/>
      <c r="D35" s="1554"/>
      <c r="E35" s="1580" t="s">
        <v>893</v>
      </c>
      <c r="F35" s="626" t="s">
        <v>856</v>
      </c>
      <c r="G35" s="1570" t="s">
        <v>551</v>
      </c>
      <c r="H35" s="493"/>
      <c r="I35" s="493"/>
      <c r="J35" s="226" t="s">
        <v>894</v>
      </c>
      <c r="K35" s="479"/>
      <c r="L35" s="1552"/>
      <c r="M35" s="1552"/>
      <c r="R35" s="1552"/>
      <c r="U35" s="480"/>
      <c r="AA35" s="1548"/>
      <c r="AB35" s="1548"/>
      <c r="AC35" s="1548"/>
      <c r="AD35" s="1548"/>
      <c r="AE35" s="1548"/>
      <c r="AF35" s="1076">
        <v>23</v>
      </c>
    </row>
    <row r="36" spans="1:32" s="2357" customFormat="1" ht="35.65" customHeight="1">
      <c r="A36" s="910"/>
      <c r="C36" s="1552" t="s">
        <v>587</v>
      </c>
      <c r="D36" s="1554"/>
      <c r="E36" s="1580" t="s">
        <v>111</v>
      </c>
      <c r="F36" s="1577" t="s">
        <v>716</v>
      </c>
      <c r="G36" s="1573" t="s">
        <v>305</v>
      </c>
      <c r="H36" s="2039"/>
      <c r="I36" s="2039"/>
      <c r="J36" s="226" t="s">
        <v>895</v>
      </c>
      <c r="K36" s="479"/>
      <c r="L36" s="1552"/>
      <c r="M36" s="1552"/>
      <c r="R36" s="1552"/>
      <c r="U36" s="480"/>
      <c r="AA36" s="1548"/>
      <c r="AB36" s="1548"/>
      <c r="AC36" s="1548"/>
      <c r="AD36" s="1548"/>
      <c r="AE36" s="1548"/>
      <c r="AF36" s="1076">
        <v>34</v>
      </c>
    </row>
    <row r="37" spans="1:32" s="2357" customFormat="1" ht="35.65" customHeight="1">
      <c r="A37" s="910"/>
      <c r="C37" s="1552"/>
      <c r="D37" s="1554"/>
      <c r="E37" s="1580" t="s">
        <v>92</v>
      </c>
      <c r="F37" s="1577" t="s">
        <v>896</v>
      </c>
      <c r="G37" s="1570" t="s">
        <v>861</v>
      </c>
      <c r="H37" s="2297" t="s">
        <v>22</v>
      </c>
      <c r="I37" s="2297" t="s">
        <v>22</v>
      </c>
      <c r="J37" s="226" t="s">
        <v>862</v>
      </c>
      <c r="K37" s="479"/>
      <c r="L37" s="1552"/>
      <c r="M37" s="1552"/>
      <c r="R37" s="1552"/>
      <c r="U37" s="480"/>
      <c r="AA37" s="1548"/>
      <c r="AB37" s="1548"/>
      <c r="AC37" s="1548"/>
      <c r="AD37" s="1548"/>
      <c r="AE37" s="1548"/>
      <c r="AF37" s="1076">
        <v>34</v>
      </c>
    </row>
    <row r="38" spans="1:32" s="2398" customFormat="1" ht="35.65" customHeight="1">
      <c r="A38" s="2281"/>
      <c r="B38" s="2282"/>
      <c r="C38" s="2283"/>
      <c r="D38" s="2284"/>
      <c r="E38" s="2294" t="s">
        <v>739</v>
      </c>
      <c r="F38" s="2295" t="s">
        <v>897</v>
      </c>
      <c r="G38" s="2287" t="s">
        <v>898</v>
      </c>
      <c r="H38" s="2298" t="s">
        <v>22</v>
      </c>
      <c r="I38" s="2298" t="s">
        <v>22</v>
      </c>
      <c r="J38" s="2289" t="s">
        <v>899</v>
      </c>
      <c r="K38" s="2290"/>
      <c r="L38" s="2283"/>
      <c r="M38" s="2283"/>
      <c r="N38" s="2282"/>
      <c r="O38" s="2282"/>
      <c r="P38" s="2282"/>
      <c r="Q38" s="2282"/>
      <c r="R38" s="2283"/>
      <c r="S38" s="2282"/>
      <c r="T38" s="2282"/>
      <c r="U38" s="2291"/>
      <c r="V38" s="2282"/>
      <c r="W38" s="2282"/>
      <c r="X38" s="2282"/>
      <c r="Y38" s="2282"/>
      <c r="Z38" s="2282"/>
      <c r="AA38" s="2292"/>
      <c r="AB38" s="2292"/>
      <c r="AC38" s="2292"/>
      <c r="AD38" s="2292"/>
      <c r="AE38" s="2292"/>
      <c r="AF38" s="2293">
        <v>34</v>
      </c>
    </row>
    <row r="39" spans="1:32" s="2398" customFormat="1" ht="48.2" customHeight="1">
      <c r="A39" s="2281"/>
      <c r="B39" s="2282"/>
      <c r="C39" s="2283"/>
      <c r="D39" s="2284"/>
      <c r="E39" s="2294" t="s">
        <v>743</v>
      </c>
      <c r="F39" s="2295" t="s">
        <v>900</v>
      </c>
      <c r="G39" s="2287" t="s">
        <v>898</v>
      </c>
      <c r="H39" s="2298" t="s">
        <v>22</v>
      </c>
      <c r="I39" s="2298" t="s">
        <v>22</v>
      </c>
      <c r="J39" s="2289" t="s">
        <v>901</v>
      </c>
      <c r="K39" s="2290"/>
      <c r="L39" s="2283"/>
      <c r="M39" s="2283"/>
      <c r="N39" s="2282"/>
      <c r="O39" s="2282"/>
      <c r="P39" s="2282"/>
      <c r="Q39" s="2282"/>
      <c r="R39" s="2283"/>
      <c r="S39" s="2282"/>
      <c r="T39" s="2282"/>
      <c r="U39" s="2291"/>
      <c r="V39" s="2282"/>
      <c r="W39" s="2282"/>
      <c r="X39" s="2282"/>
      <c r="Y39" s="2282"/>
      <c r="Z39" s="2282"/>
      <c r="AA39" s="2292"/>
      <c r="AB39" s="2292"/>
      <c r="AC39" s="2292"/>
      <c r="AD39" s="2292"/>
      <c r="AE39" s="2292"/>
      <c r="AF39" s="2293">
        <v>46</v>
      </c>
    </row>
    <row r="40" spans="1:32" s="2357" customFormat="1" ht="24" customHeight="1">
      <c r="A40" s="910"/>
      <c r="C40" s="1552"/>
      <c r="D40" s="1554"/>
      <c r="E40" s="1580" t="s">
        <v>93</v>
      </c>
      <c r="F40" s="1577" t="s">
        <v>902</v>
      </c>
      <c r="G40" s="1570" t="s">
        <v>864</v>
      </c>
      <c r="H40" s="2297" t="s">
        <v>22</v>
      </c>
      <c r="I40" s="2297" t="s">
        <v>22</v>
      </c>
      <c r="J40" s="226" t="s">
        <v>865</v>
      </c>
      <c r="K40" s="479"/>
      <c r="L40" s="1552"/>
      <c r="M40" s="1552"/>
      <c r="R40" s="1552"/>
      <c r="U40" s="480"/>
      <c r="AA40" s="1548"/>
      <c r="AB40" s="1548"/>
      <c r="AC40" s="1548"/>
      <c r="AD40" s="1548"/>
      <c r="AE40" s="1548"/>
      <c r="AF40" s="1076">
        <v>23</v>
      </c>
    </row>
    <row r="41" spans="1:32" s="2398" customFormat="1" ht="35.65" customHeight="1">
      <c r="A41" s="2281"/>
      <c r="B41" s="2282"/>
      <c r="C41" s="2283"/>
      <c r="D41" s="2284"/>
      <c r="E41" s="2294" t="s">
        <v>903</v>
      </c>
      <c r="F41" s="2295" t="s">
        <v>904</v>
      </c>
      <c r="G41" s="2287" t="s">
        <v>864</v>
      </c>
      <c r="H41" s="2298" t="s">
        <v>22</v>
      </c>
      <c r="I41" s="2298" t="s">
        <v>22</v>
      </c>
      <c r="J41" s="2289" t="s">
        <v>905</v>
      </c>
      <c r="K41" s="2290"/>
      <c r="L41" s="2283"/>
      <c r="M41" s="2283"/>
      <c r="N41" s="2282"/>
      <c r="O41" s="2282"/>
      <c r="P41" s="2282"/>
      <c r="Q41" s="2282"/>
      <c r="R41" s="2283"/>
      <c r="S41" s="2282"/>
      <c r="T41" s="2282"/>
      <c r="U41" s="2291"/>
      <c r="V41" s="2282"/>
      <c r="W41" s="2282"/>
      <c r="X41" s="2282"/>
      <c r="Y41" s="2282"/>
      <c r="Z41" s="2282"/>
      <c r="AA41" s="2292"/>
      <c r="AB41" s="2292"/>
      <c r="AC41" s="2292"/>
      <c r="AD41" s="2292"/>
      <c r="AE41" s="2292"/>
      <c r="AF41" s="2293">
        <v>34</v>
      </c>
    </row>
    <row r="42" spans="1:32" s="2398" customFormat="1" ht="48.2" customHeight="1">
      <c r="A42" s="2281"/>
      <c r="B42" s="2282"/>
      <c r="C42" s="2283"/>
      <c r="D42" s="2284"/>
      <c r="E42" s="2294" t="s">
        <v>906</v>
      </c>
      <c r="F42" s="2295" t="s">
        <v>907</v>
      </c>
      <c r="G42" s="2287" t="s">
        <v>864</v>
      </c>
      <c r="H42" s="2298" t="s">
        <v>22</v>
      </c>
      <c r="I42" s="2298" t="s">
        <v>22</v>
      </c>
      <c r="J42" s="2289" t="s">
        <v>908</v>
      </c>
      <c r="K42" s="2290"/>
      <c r="L42" s="2283"/>
      <c r="M42" s="2283"/>
      <c r="N42" s="2282"/>
      <c r="O42" s="2282"/>
      <c r="P42" s="2282"/>
      <c r="Q42" s="2282"/>
      <c r="R42" s="2283"/>
      <c r="S42" s="2282"/>
      <c r="T42" s="2282"/>
      <c r="U42" s="2291"/>
      <c r="V42" s="2282"/>
      <c r="W42" s="2282"/>
      <c r="X42" s="2282"/>
      <c r="Y42" s="2282"/>
      <c r="Z42" s="2282"/>
      <c r="AA42" s="2292"/>
      <c r="AB42" s="2292"/>
      <c r="AC42" s="2292"/>
      <c r="AD42" s="2292"/>
      <c r="AE42" s="2292"/>
      <c r="AF42" s="2293">
        <v>46</v>
      </c>
    </row>
    <row r="43" spans="1:32" ht="11.45" customHeight="1">
      <c r="D43" s="1554"/>
      <c r="AF43" s="1547">
        <v>11</v>
      </c>
    </row>
    <row r="44" spans="1:32" ht="27.4" customHeight="1">
      <c r="D44" s="1554"/>
      <c r="E44" s="1169" t="s">
        <v>909</v>
      </c>
      <c r="F44" s="2562" t="s">
        <v>910</v>
      </c>
      <c r="G44" s="2562"/>
      <c r="H44" s="305"/>
      <c r="I44" s="305"/>
      <c r="J44" s="305"/>
      <c r="AF44" s="1547">
        <v>26</v>
      </c>
    </row>
    <row r="45" spans="1:32" s="2335" customFormat="1" ht="39.75" customHeight="1">
      <c r="A45" s="910"/>
      <c r="B45" s="1552"/>
      <c r="C45" s="1552"/>
      <c r="D45" s="287"/>
      <c r="F45" s="2562" t="s">
        <v>911</v>
      </c>
      <c r="G45" s="2562"/>
      <c r="H45" s="305"/>
      <c r="I45" s="305"/>
      <c r="J45" s="305"/>
      <c r="K45" s="1076"/>
      <c r="L45" s="1552"/>
      <c r="M45" s="1552"/>
      <c r="N45" s="1076"/>
      <c r="O45" s="1076"/>
      <c r="P45" s="1076"/>
      <c r="Q45" s="1076"/>
      <c r="R45" s="1552"/>
      <c r="S45" s="1076"/>
      <c r="T45" s="1076"/>
      <c r="U45" s="480"/>
      <c r="V45" s="1076"/>
      <c r="W45" s="1076"/>
      <c r="X45" s="1076"/>
      <c r="Y45" s="1076"/>
      <c r="Z45" s="1076"/>
      <c r="AA45" s="1548"/>
      <c r="AB45" s="502"/>
      <c r="AC45" s="502"/>
      <c r="AD45" s="502"/>
      <c r="AE45" s="502"/>
      <c r="AF45" s="1557">
        <v>38</v>
      </c>
    </row>
    <row r="46" spans="1:32" s="2335" customFormat="1" ht="11.45" customHeight="1">
      <c r="A46" s="910"/>
      <c r="B46" s="1552"/>
      <c r="C46" s="1552"/>
      <c r="D46" s="287"/>
      <c r="K46" s="1076"/>
      <c r="L46" s="1552"/>
      <c r="M46" s="1552"/>
      <c r="N46" s="1076"/>
      <c r="O46" s="1076"/>
      <c r="P46" s="1076"/>
      <c r="Q46" s="1076"/>
      <c r="R46" s="1552"/>
      <c r="S46" s="1076"/>
      <c r="T46" s="1076"/>
      <c r="U46" s="480"/>
      <c r="V46" s="1076"/>
      <c r="W46" s="1076"/>
      <c r="X46" s="1076"/>
      <c r="Y46" s="1076"/>
      <c r="Z46" s="1076"/>
      <c r="AA46" s="1548"/>
      <c r="AB46" s="502"/>
      <c r="AC46" s="502"/>
      <c r="AD46" s="502"/>
      <c r="AE46" s="502"/>
      <c r="AF46" s="1557">
        <v>11</v>
      </c>
    </row>
    <row r="47" spans="1:32" s="2335" customFormat="1" ht="11.45" customHeight="1">
      <c r="A47" s="910"/>
      <c r="B47" s="1552"/>
      <c r="C47" s="1552"/>
      <c r="D47" s="287"/>
      <c r="K47" s="1076"/>
      <c r="L47" s="1552"/>
      <c r="M47" s="1552"/>
      <c r="N47" s="1076"/>
      <c r="O47" s="1076"/>
      <c r="P47" s="1076"/>
      <c r="Q47" s="1076"/>
      <c r="R47" s="1552"/>
      <c r="S47" s="1076"/>
      <c r="T47" s="1076"/>
      <c r="U47" s="480"/>
      <c r="V47" s="1076"/>
      <c r="W47" s="1076"/>
      <c r="X47" s="1076"/>
      <c r="Y47" s="1076"/>
      <c r="Z47" s="1076"/>
      <c r="AA47" s="1548"/>
      <c r="AB47" s="502"/>
      <c r="AC47" s="502"/>
      <c r="AD47" s="502"/>
      <c r="AE47" s="502"/>
      <c r="AF47" s="1557">
        <v>11</v>
      </c>
    </row>
    <row r="48" spans="1:32" s="2335" customFormat="1" ht="11.45" customHeight="1">
      <c r="A48" s="910"/>
      <c r="B48" s="1552"/>
      <c r="C48" s="1552"/>
      <c r="D48" s="287"/>
      <c r="H48" s="502"/>
      <c r="I48" s="502"/>
      <c r="K48" s="1076"/>
      <c r="L48" s="1552"/>
      <c r="M48" s="1552"/>
      <c r="N48" s="1076"/>
      <c r="O48" s="1076"/>
      <c r="P48" s="1076"/>
      <c r="Q48" s="1076"/>
      <c r="R48" s="1552"/>
      <c r="S48" s="1076"/>
      <c r="T48" s="1076"/>
      <c r="U48" s="480"/>
      <c r="V48" s="1076"/>
      <c r="W48" s="1076"/>
      <c r="X48" s="1076"/>
      <c r="Y48" s="1076"/>
      <c r="Z48" s="1076"/>
      <c r="AA48" s="1548"/>
      <c r="AB48" s="502"/>
      <c r="AC48" s="502"/>
      <c r="AD48" s="502"/>
      <c r="AE48" s="502"/>
      <c r="AF48" s="1557">
        <v>11</v>
      </c>
    </row>
    <row r="49" spans="1:32" s="2335" customFormat="1" ht="11.45" customHeight="1">
      <c r="A49" s="910"/>
      <c r="B49" s="1552"/>
      <c r="C49" s="1552"/>
      <c r="D49" s="287"/>
      <c r="K49" s="1076"/>
      <c r="L49" s="1552"/>
      <c r="M49" s="1552"/>
      <c r="N49" s="1076"/>
      <c r="O49" s="1076"/>
      <c r="P49" s="1076"/>
      <c r="Q49" s="1076"/>
      <c r="R49" s="1552"/>
      <c r="S49" s="1076"/>
      <c r="T49" s="1076"/>
      <c r="U49" s="480"/>
      <c r="V49" s="1076"/>
      <c r="W49" s="1076"/>
      <c r="X49" s="1076"/>
      <c r="Y49" s="1076"/>
      <c r="Z49" s="1076"/>
      <c r="AA49" s="1548"/>
      <c r="AB49" s="502"/>
      <c r="AC49" s="502"/>
      <c r="AD49" s="502"/>
      <c r="AE49" s="502"/>
      <c r="AF49" s="1557">
        <v>11</v>
      </c>
    </row>
    <row r="50" spans="1:32" s="2335" customFormat="1" ht="11.45" customHeight="1">
      <c r="A50" s="910"/>
      <c r="B50" s="1552"/>
      <c r="C50" s="1552"/>
      <c r="D50" s="287"/>
      <c r="K50" s="1076"/>
      <c r="L50" s="1552"/>
      <c r="M50" s="1552"/>
      <c r="N50" s="1076"/>
      <c r="O50" s="1076"/>
      <c r="P50" s="1076"/>
      <c r="Q50" s="1076"/>
      <c r="R50" s="1552"/>
      <c r="S50" s="1076"/>
      <c r="T50" s="1076"/>
      <c r="U50" s="480"/>
      <c r="V50" s="1076"/>
      <c r="W50" s="1076"/>
      <c r="X50" s="1076"/>
      <c r="Y50" s="1076"/>
      <c r="Z50" s="1076"/>
      <c r="AA50" s="1548"/>
      <c r="AB50" s="502"/>
      <c r="AC50" s="502"/>
      <c r="AD50" s="502"/>
      <c r="AE50" s="502"/>
      <c r="AF50" s="1557">
        <v>11</v>
      </c>
    </row>
    <row r="51" spans="1:32" s="2335" customFormat="1" ht="11.45" customHeight="1">
      <c r="A51" s="910"/>
      <c r="B51" s="1552"/>
      <c r="C51" s="1552"/>
      <c r="D51" s="287"/>
      <c r="K51" s="1076"/>
      <c r="L51" s="1552"/>
      <c r="M51" s="1552"/>
      <c r="N51" s="1076"/>
      <c r="O51" s="1076"/>
      <c r="P51" s="1076"/>
      <c r="Q51" s="1076"/>
      <c r="R51" s="1552"/>
      <c r="S51" s="1076"/>
      <c r="T51" s="1076"/>
      <c r="U51" s="480"/>
      <c r="V51" s="1076"/>
      <c r="W51" s="1076"/>
      <c r="X51" s="1076"/>
      <c r="Y51" s="1076"/>
      <c r="Z51" s="1076"/>
      <c r="AA51" s="1548"/>
      <c r="AB51" s="502"/>
      <c r="AC51" s="502"/>
      <c r="AD51" s="502"/>
      <c r="AE51" s="502"/>
      <c r="AF51" s="1557">
        <v>11</v>
      </c>
    </row>
    <row r="52" spans="1:32" s="2335" customFormat="1" ht="11.45" customHeight="1">
      <c r="A52" s="910"/>
      <c r="B52" s="1552"/>
      <c r="C52" s="1552"/>
      <c r="D52" s="287"/>
      <c r="K52" s="1076"/>
      <c r="L52" s="1552"/>
      <c r="M52" s="1552"/>
      <c r="N52" s="1076"/>
      <c r="O52" s="1076"/>
      <c r="P52" s="1076"/>
      <c r="Q52" s="1076"/>
      <c r="R52" s="1552"/>
      <c r="S52" s="1076"/>
      <c r="T52" s="1076"/>
      <c r="U52" s="480"/>
      <c r="V52" s="1076"/>
      <c r="W52" s="1076"/>
      <c r="X52" s="1076"/>
      <c r="Y52" s="1076"/>
      <c r="Z52" s="1076"/>
      <c r="AA52" s="1548"/>
      <c r="AB52" s="502"/>
      <c r="AC52" s="502"/>
      <c r="AD52" s="502"/>
      <c r="AE52" s="502"/>
      <c r="AF52" s="1557">
        <v>11</v>
      </c>
    </row>
    <row r="53" spans="1:32" s="2335" customFormat="1" ht="11.45" customHeight="1">
      <c r="A53" s="910"/>
      <c r="B53" s="1552"/>
      <c r="C53" s="1552"/>
      <c r="D53" s="287"/>
      <c r="K53" s="1076"/>
      <c r="L53" s="1552"/>
      <c r="M53" s="1552"/>
      <c r="N53" s="1076"/>
      <c r="O53" s="1076"/>
      <c r="P53" s="1076"/>
      <c r="Q53" s="1076"/>
      <c r="R53" s="1552"/>
      <c r="S53" s="1076"/>
      <c r="T53" s="1076"/>
      <c r="U53" s="480"/>
      <c r="V53" s="1076"/>
      <c r="W53" s="1076"/>
      <c r="X53" s="1076"/>
      <c r="Y53" s="1076"/>
      <c r="Z53" s="1076"/>
      <c r="AA53" s="1548"/>
      <c r="AB53" s="502"/>
      <c r="AC53" s="502"/>
      <c r="AD53" s="502"/>
      <c r="AE53" s="502"/>
      <c r="AF53" s="1557">
        <v>11</v>
      </c>
    </row>
    <row r="54" spans="1:32" s="2335" customFormat="1" ht="11.45" customHeight="1">
      <c r="A54" s="910"/>
      <c r="B54" s="1552"/>
      <c r="C54" s="1552"/>
      <c r="D54" s="287"/>
      <c r="K54" s="1076"/>
      <c r="L54" s="1552"/>
      <c r="M54" s="1552"/>
      <c r="N54" s="1076"/>
      <c r="O54" s="1076"/>
      <c r="P54" s="1076"/>
      <c r="Q54" s="1076"/>
      <c r="R54" s="1552"/>
      <c r="S54" s="1076"/>
      <c r="T54" s="1076"/>
      <c r="U54" s="480"/>
      <c r="V54" s="1076"/>
      <c r="W54" s="1076"/>
      <c r="X54" s="1076"/>
      <c r="Y54" s="1076"/>
      <c r="Z54" s="1076"/>
      <c r="AA54" s="1548"/>
      <c r="AB54" s="502"/>
      <c r="AC54" s="502"/>
      <c r="AD54" s="502"/>
      <c r="AE54" s="502"/>
      <c r="AF54" s="1557">
        <v>11</v>
      </c>
    </row>
    <row r="55" spans="1:32" s="2335" customFormat="1" ht="11.45" customHeight="1">
      <c r="A55" s="910"/>
      <c r="B55" s="1552"/>
      <c r="C55" s="1552"/>
      <c r="D55" s="287"/>
      <c r="K55" s="1076"/>
      <c r="L55" s="1552"/>
      <c r="M55" s="1552"/>
      <c r="N55" s="1076"/>
      <c r="O55" s="1076"/>
      <c r="P55" s="1076"/>
      <c r="Q55" s="1076"/>
      <c r="R55" s="1552"/>
      <c r="S55" s="1076"/>
      <c r="T55" s="1076"/>
      <c r="U55" s="480"/>
      <c r="V55" s="1076"/>
      <c r="W55" s="1076"/>
      <c r="X55" s="1076"/>
      <c r="Y55" s="1076"/>
      <c r="Z55" s="1076"/>
      <c r="AA55" s="1548"/>
      <c r="AB55" s="502"/>
      <c r="AC55" s="502"/>
      <c r="AD55" s="502"/>
      <c r="AE55" s="502"/>
      <c r="AF55" s="1557">
        <v>11</v>
      </c>
    </row>
    <row r="56" spans="1:32" s="2335" customFormat="1" ht="11.45" customHeight="1">
      <c r="A56" s="910"/>
      <c r="B56" s="1552"/>
      <c r="C56" s="1552"/>
      <c r="D56" s="287"/>
      <c r="K56" s="1076"/>
      <c r="L56" s="1552"/>
      <c r="M56" s="1552"/>
      <c r="N56" s="1076"/>
      <c r="O56" s="1076"/>
      <c r="P56" s="1076"/>
      <c r="Q56" s="1076"/>
      <c r="R56" s="1552"/>
      <c r="S56" s="1076"/>
      <c r="T56" s="1076"/>
      <c r="U56" s="480"/>
      <c r="V56" s="1076"/>
      <c r="W56" s="1076"/>
      <c r="X56" s="1076"/>
      <c r="Y56" s="1076"/>
      <c r="Z56" s="1076"/>
      <c r="AA56" s="1548"/>
      <c r="AB56" s="502"/>
      <c r="AC56" s="502"/>
      <c r="AD56" s="502"/>
      <c r="AE56" s="502"/>
      <c r="AF56" s="1557">
        <v>11</v>
      </c>
    </row>
    <row r="57" spans="1:32" s="2335" customFormat="1" ht="11.45" customHeight="1">
      <c r="A57" s="910"/>
      <c r="B57" s="1552"/>
      <c r="C57" s="1552"/>
      <c r="D57" s="287"/>
      <c r="K57" s="1076"/>
      <c r="L57" s="1552"/>
      <c r="M57" s="1552"/>
      <c r="N57" s="1076"/>
      <c r="O57" s="1076"/>
      <c r="P57" s="1076"/>
      <c r="Q57" s="1076"/>
      <c r="R57" s="1552"/>
      <c r="S57" s="1076"/>
      <c r="T57" s="1076"/>
      <c r="U57" s="480"/>
      <c r="V57" s="1076"/>
      <c r="W57" s="1076"/>
      <c r="X57" s="1076"/>
      <c r="Y57" s="1076"/>
      <c r="Z57" s="1076"/>
      <c r="AA57" s="1548"/>
      <c r="AB57" s="502"/>
      <c r="AC57" s="502"/>
      <c r="AD57" s="502"/>
      <c r="AE57" s="502"/>
      <c r="AF57" s="1557">
        <v>11</v>
      </c>
    </row>
    <row r="58" spans="1:32" s="2335" customFormat="1" ht="11.45" customHeight="1">
      <c r="A58" s="910"/>
      <c r="B58" s="1552"/>
      <c r="C58" s="1552"/>
      <c r="D58" s="287"/>
      <c r="K58" s="1076"/>
      <c r="L58" s="1552"/>
      <c r="M58" s="1552"/>
      <c r="N58" s="1076"/>
      <c r="O58" s="1076"/>
      <c r="P58" s="1076"/>
      <c r="Q58" s="1076"/>
      <c r="R58" s="1552"/>
      <c r="S58" s="1076"/>
      <c r="T58" s="1076"/>
      <c r="U58" s="480"/>
      <c r="V58" s="1076"/>
      <c r="W58" s="1076"/>
      <c r="X58" s="1076"/>
      <c r="Y58" s="1076"/>
      <c r="Z58" s="1076"/>
      <c r="AA58" s="1548"/>
      <c r="AB58" s="502"/>
      <c r="AC58" s="502"/>
      <c r="AD58" s="502"/>
      <c r="AE58" s="502"/>
      <c r="AF58" s="1557">
        <v>11</v>
      </c>
    </row>
    <row r="59" spans="1:32" s="2335" customFormat="1" ht="11.45" customHeight="1">
      <c r="A59" s="910"/>
      <c r="B59" s="1552"/>
      <c r="C59" s="1552"/>
      <c r="D59" s="287"/>
      <c r="K59" s="1076"/>
      <c r="L59" s="1552"/>
      <c r="M59" s="1552"/>
      <c r="N59" s="1076"/>
      <c r="O59" s="1076"/>
      <c r="P59" s="1076"/>
      <c r="Q59" s="1076"/>
      <c r="R59" s="1552"/>
      <c r="S59" s="1076"/>
      <c r="T59" s="1076"/>
      <c r="U59" s="480"/>
      <c r="V59" s="1076"/>
      <c r="W59" s="1076"/>
      <c r="X59" s="1076"/>
      <c r="Y59" s="1076"/>
      <c r="Z59" s="1076"/>
      <c r="AA59" s="1548"/>
      <c r="AB59" s="502"/>
      <c r="AC59" s="502"/>
      <c r="AD59" s="502"/>
      <c r="AE59" s="502"/>
      <c r="AF59" s="1557">
        <v>11</v>
      </c>
    </row>
    <row r="60" spans="1:32" s="2335" customFormat="1" ht="11.45" customHeight="1">
      <c r="A60" s="910"/>
      <c r="B60" s="1552"/>
      <c r="C60" s="1552"/>
      <c r="D60" s="287"/>
      <c r="K60" s="1076"/>
      <c r="L60" s="1552"/>
      <c r="M60" s="1552"/>
      <c r="N60" s="1076"/>
      <c r="O60" s="1076"/>
      <c r="P60" s="1076"/>
      <c r="Q60" s="1076"/>
      <c r="R60" s="1552"/>
      <c r="S60" s="1076"/>
      <c r="T60" s="1076"/>
      <c r="U60" s="480"/>
      <c r="V60" s="1076"/>
      <c r="W60" s="1076"/>
      <c r="X60" s="1076"/>
      <c r="Y60" s="1076"/>
      <c r="Z60" s="1076"/>
      <c r="AA60" s="1548"/>
      <c r="AB60" s="502"/>
      <c r="AC60" s="502"/>
      <c r="AD60" s="502"/>
      <c r="AE60" s="502"/>
      <c r="AF60" s="1557">
        <v>11</v>
      </c>
    </row>
    <row r="61" spans="1:32" s="2335" customFormat="1" ht="11.45" customHeight="1">
      <c r="A61" s="910"/>
      <c r="B61" s="1552"/>
      <c r="C61" s="1552"/>
      <c r="D61" s="287"/>
      <c r="K61" s="1076"/>
      <c r="L61" s="1552"/>
      <c r="M61" s="1552"/>
      <c r="N61" s="1076"/>
      <c r="O61" s="1076"/>
      <c r="P61" s="1076"/>
      <c r="Q61" s="1076"/>
      <c r="R61" s="1552"/>
      <c r="S61" s="1076"/>
      <c r="T61" s="1076"/>
      <c r="U61" s="480"/>
      <c r="V61" s="1076"/>
      <c r="W61" s="1076"/>
      <c r="X61" s="1076"/>
      <c r="Y61" s="1076"/>
      <c r="Z61" s="1076"/>
      <c r="AA61" s="1548"/>
      <c r="AB61" s="502"/>
      <c r="AC61" s="502"/>
      <c r="AD61" s="502"/>
      <c r="AE61" s="502"/>
      <c r="AF61" s="1557">
        <v>11</v>
      </c>
    </row>
    <row r="62" spans="1:32" s="2335" customFormat="1" ht="11.45" customHeight="1">
      <c r="A62" s="910"/>
      <c r="B62" s="1552"/>
      <c r="C62" s="1552"/>
      <c r="D62" s="287"/>
      <c r="K62" s="1076"/>
      <c r="L62" s="1552"/>
      <c r="M62" s="1552"/>
      <c r="N62" s="1076"/>
      <c r="O62" s="1076"/>
      <c r="P62" s="1076"/>
      <c r="Q62" s="1076"/>
      <c r="R62" s="1552"/>
      <c r="S62" s="1076"/>
      <c r="T62" s="1076"/>
      <c r="U62" s="480"/>
      <c r="V62" s="1076"/>
      <c r="W62" s="1076"/>
      <c r="X62" s="1076"/>
      <c r="Y62" s="1076"/>
      <c r="Z62" s="1076"/>
      <c r="AA62" s="1548"/>
      <c r="AB62" s="502"/>
      <c r="AC62" s="502"/>
      <c r="AD62" s="502"/>
      <c r="AE62" s="502"/>
      <c r="AF62" s="1557">
        <v>11</v>
      </c>
    </row>
    <row r="63" spans="1:32" s="2335" customFormat="1" ht="11.45" customHeight="1">
      <c r="A63" s="910"/>
      <c r="B63" s="1552"/>
      <c r="C63" s="1552"/>
      <c r="D63" s="287"/>
      <c r="K63" s="1076"/>
      <c r="L63" s="1552"/>
      <c r="M63" s="1552"/>
      <c r="N63" s="1076"/>
      <c r="O63" s="1076"/>
      <c r="P63" s="1076"/>
      <c r="Q63" s="1076"/>
      <c r="R63" s="1552"/>
      <c r="S63" s="1076"/>
      <c r="T63" s="1076"/>
      <c r="U63" s="480"/>
      <c r="V63" s="1076"/>
      <c r="W63" s="1076"/>
      <c r="X63" s="1076"/>
      <c r="Y63" s="1076"/>
      <c r="Z63" s="1076"/>
      <c r="AA63" s="1548"/>
      <c r="AB63" s="502"/>
      <c r="AC63" s="502"/>
      <c r="AD63" s="502"/>
      <c r="AE63" s="502"/>
      <c r="AF63" s="1557">
        <v>11</v>
      </c>
    </row>
    <row r="64" spans="1:32" s="2335" customFormat="1" ht="11.45" customHeight="1">
      <c r="A64" s="910"/>
      <c r="B64" s="1552"/>
      <c r="C64" s="1552"/>
      <c r="D64" s="287"/>
      <c r="K64" s="1076"/>
      <c r="L64" s="1552"/>
      <c r="M64" s="1552"/>
      <c r="N64" s="1076"/>
      <c r="O64" s="1076"/>
      <c r="P64" s="1076"/>
      <c r="Q64" s="1076"/>
      <c r="R64" s="1552"/>
      <c r="S64" s="1076"/>
      <c r="T64" s="1076"/>
      <c r="U64" s="480"/>
      <c r="V64" s="1076"/>
      <c r="W64" s="1076"/>
      <c r="X64" s="1076"/>
      <c r="Y64" s="1076"/>
      <c r="Z64" s="1076"/>
      <c r="AA64" s="1548"/>
      <c r="AB64" s="502"/>
      <c r="AC64" s="502"/>
      <c r="AD64" s="502"/>
      <c r="AE64" s="502"/>
      <c r="AF64" s="1557">
        <v>11</v>
      </c>
    </row>
    <row r="65" spans="1:32" s="2335" customFormat="1" ht="11.45" customHeight="1">
      <c r="A65" s="910"/>
      <c r="B65" s="1552"/>
      <c r="C65" s="1552"/>
      <c r="D65" s="287"/>
      <c r="K65" s="1076"/>
      <c r="L65" s="1552"/>
      <c r="M65" s="1552"/>
      <c r="N65" s="1076"/>
      <c r="O65" s="1076"/>
      <c r="P65" s="1076"/>
      <c r="Q65" s="1076"/>
      <c r="R65" s="1552"/>
      <c r="S65" s="1076"/>
      <c r="T65" s="1076"/>
      <c r="U65" s="480"/>
      <c r="V65" s="1076"/>
      <c r="W65" s="1076"/>
      <c r="X65" s="1076"/>
      <c r="Y65" s="1076"/>
      <c r="Z65" s="1076"/>
      <c r="AA65" s="1548"/>
      <c r="AB65" s="502"/>
      <c r="AC65" s="502"/>
      <c r="AD65" s="502"/>
      <c r="AE65" s="502"/>
      <c r="AF65" s="1557">
        <v>11</v>
      </c>
    </row>
    <row r="66" spans="1:32" s="2335" customFormat="1" ht="11.45" customHeight="1">
      <c r="A66" s="910"/>
      <c r="B66" s="1552"/>
      <c r="C66" s="1552"/>
      <c r="D66" s="287"/>
      <c r="K66" s="1076"/>
      <c r="L66" s="1552"/>
      <c r="M66" s="1552"/>
      <c r="N66" s="1076"/>
      <c r="O66" s="1076"/>
      <c r="P66" s="1076"/>
      <c r="Q66" s="1076"/>
      <c r="R66" s="1552"/>
      <c r="S66" s="1076"/>
      <c r="T66" s="1076"/>
      <c r="U66" s="480"/>
      <c r="V66" s="1076"/>
      <c r="W66" s="1076"/>
      <c r="X66" s="1076"/>
      <c r="Y66" s="1076"/>
      <c r="Z66" s="1076"/>
      <c r="AA66" s="1548"/>
      <c r="AB66" s="502"/>
      <c r="AC66" s="502"/>
      <c r="AD66" s="502"/>
      <c r="AE66" s="502"/>
      <c r="AF66" s="1557">
        <v>11</v>
      </c>
    </row>
    <row r="67" spans="1:32" s="2335" customFormat="1" ht="11.45" customHeight="1">
      <c r="A67" s="910"/>
      <c r="B67" s="1552"/>
      <c r="C67" s="1552"/>
      <c r="D67" s="287"/>
      <c r="K67" s="1076"/>
      <c r="L67" s="1552"/>
      <c r="M67" s="1552"/>
      <c r="N67" s="1076"/>
      <c r="O67" s="1076"/>
      <c r="P67" s="1076"/>
      <c r="Q67" s="1076"/>
      <c r="R67" s="1552"/>
      <c r="S67" s="1076"/>
      <c r="T67" s="1076"/>
      <c r="U67" s="480"/>
      <c r="V67" s="1076"/>
      <c r="W67" s="1076"/>
      <c r="X67" s="1076"/>
      <c r="Y67" s="1076"/>
      <c r="Z67" s="1076"/>
      <c r="AA67" s="1548"/>
      <c r="AB67" s="502"/>
      <c r="AC67" s="502"/>
      <c r="AD67" s="502"/>
      <c r="AE67" s="502"/>
      <c r="AF67" s="1557">
        <v>11</v>
      </c>
    </row>
    <row r="68" spans="1:32" s="2335" customFormat="1" ht="11.45" customHeight="1">
      <c r="A68" s="910"/>
      <c r="B68" s="1552"/>
      <c r="C68" s="1552"/>
      <c r="D68" s="287"/>
      <c r="K68" s="1076"/>
      <c r="L68" s="1552"/>
      <c r="M68" s="1552"/>
      <c r="N68" s="1076"/>
      <c r="O68" s="1076"/>
      <c r="P68" s="1076"/>
      <c r="Q68" s="1076"/>
      <c r="R68" s="1552"/>
      <c r="S68" s="1076"/>
      <c r="T68" s="1076"/>
      <c r="U68" s="480"/>
      <c r="V68" s="1076"/>
      <c r="W68" s="1076"/>
      <c r="X68" s="1076"/>
      <c r="Y68" s="1076"/>
      <c r="Z68" s="1076"/>
      <c r="AA68" s="1548"/>
      <c r="AB68" s="502"/>
      <c r="AC68" s="502"/>
      <c r="AD68" s="502"/>
      <c r="AE68" s="502"/>
      <c r="AF68" s="1557">
        <v>11</v>
      </c>
    </row>
    <row r="69" spans="1:32" s="2335" customFormat="1" ht="11.45" customHeight="1">
      <c r="A69" s="910"/>
      <c r="B69" s="1552"/>
      <c r="C69" s="1552"/>
      <c r="D69" s="287"/>
      <c r="K69" s="1076"/>
      <c r="L69" s="1552"/>
      <c r="M69" s="1552"/>
      <c r="N69" s="1076"/>
      <c r="O69" s="1076"/>
      <c r="P69" s="1076"/>
      <c r="Q69" s="1076"/>
      <c r="R69" s="1552"/>
      <c r="S69" s="1076"/>
      <c r="T69" s="1076"/>
      <c r="U69" s="480"/>
      <c r="V69" s="1076"/>
      <c r="W69" s="1076"/>
      <c r="X69" s="1076"/>
      <c r="Y69" s="1076"/>
      <c r="Z69" s="1076"/>
      <c r="AA69" s="1548"/>
      <c r="AB69" s="502"/>
      <c r="AC69" s="502"/>
      <c r="AD69" s="502"/>
      <c r="AE69" s="502"/>
      <c r="AF69" s="1557">
        <v>11</v>
      </c>
    </row>
    <row r="70" spans="1:32" s="2335" customFormat="1" ht="11.45" customHeight="1">
      <c r="A70" s="910"/>
      <c r="B70" s="1552"/>
      <c r="C70" s="1552"/>
      <c r="D70" s="287"/>
      <c r="K70" s="1076"/>
      <c r="L70" s="1552"/>
      <c r="M70" s="1552"/>
      <c r="N70" s="1076"/>
      <c r="O70" s="1076"/>
      <c r="P70" s="1076"/>
      <c r="Q70" s="1076"/>
      <c r="R70" s="1552"/>
      <c r="S70" s="1076"/>
      <c r="T70" s="1076"/>
      <c r="U70" s="480"/>
      <c r="V70" s="1076"/>
      <c r="W70" s="1076"/>
      <c r="X70" s="1076"/>
      <c r="Y70" s="1076"/>
      <c r="Z70" s="1076"/>
      <c r="AA70" s="1548"/>
      <c r="AB70" s="502"/>
      <c r="AC70" s="502"/>
      <c r="AD70" s="502"/>
      <c r="AE70" s="502"/>
      <c r="AF70" s="1557">
        <v>11</v>
      </c>
    </row>
    <row r="71" spans="1:32" s="2335" customFormat="1" ht="11.45" customHeight="1">
      <c r="A71" s="910"/>
      <c r="B71" s="1552"/>
      <c r="C71" s="1552"/>
      <c r="D71" s="287"/>
      <c r="K71" s="1076"/>
      <c r="L71" s="1552"/>
      <c r="M71" s="1552"/>
      <c r="N71" s="1076"/>
      <c r="O71" s="1076"/>
      <c r="P71" s="1076"/>
      <c r="Q71" s="1076"/>
      <c r="R71" s="1552"/>
      <c r="S71" s="1076"/>
      <c r="T71" s="1076"/>
      <c r="U71" s="480"/>
      <c r="V71" s="1076"/>
      <c r="W71" s="1076"/>
      <c r="X71" s="1076"/>
      <c r="Y71" s="1076"/>
      <c r="Z71" s="1076"/>
      <c r="AA71" s="1548"/>
      <c r="AB71" s="502"/>
      <c r="AC71" s="502"/>
      <c r="AD71" s="502"/>
      <c r="AE71" s="502"/>
      <c r="AF71" s="1557">
        <v>11</v>
      </c>
    </row>
    <row r="72" spans="1:32" s="2335" customFormat="1" ht="11.45" customHeight="1">
      <c r="A72" s="910"/>
      <c r="B72" s="1552"/>
      <c r="C72" s="1552"/>
      <c r="D72" s="287"/>
      <c r="K72" s="1076"/>
      <c r="L72" s="1552"/>
      <c r="M72" s="1552"/>
      <c r="N72" s="1076"/>
      <c r="O72" s="1076"/>
      <c r="P72" s="1076"/>
      <c r="Q72" s="1076"/>
      <c r="R72" s="1552"/>
      <c r="S72" s="1076"/>
      <c r="T72" s="1076"/>
      <c r="U72" s="480"/>
      <c r="V72" s="1076"/>
      <c r="W72" s="1076"/>
      <c r="X72" s="1076"/>
      <c r="Y72" s="1076"/>
      <c r="Z72" s="1076"/>
      <c r="AA72" s="1548"/>
      <c r="AB72" s="502"/>
      <c r="AC72" s="502"/>
      <c r="AD72" s="502"/>
      <c r="AE72" s="502"/>
      <c r="AF72" s="1557">
        <v>11</v>
      </c>
    </row>
    <row r="73" spans="1:32" s="2335" customFormat="1" ht="11.45" customHeight="1">
      <c r="A73" s="910"/>
      <c r="B73" s="1552"/>
      <c r="C73" s="1552"/>
      <c r="D73" s="287"/>
      <c r="K73" s="1076"/>
      <c r="L73" s="1552"/>
      <c r="M73" s="1552"/>
      <c r="N73" s="1076"/>
      <c r="O73" s="1076"/>
      <c r="P73" s="1076"/>
      <c r="Q73" s="1076"/>
      <c r="R73" s="1552"/>
      <c r="S73" s="1076"/>
      <c r="T73" s="1076"/>
      <c r="U73" s="480"/>
      <c r="V73" s="1076"/>
      <c r="W73" s="1076"/>
      <c r="X73" s="1076"/>
      <c r="Y73" s="1076"/>
      <c r="Z73" s="1076"/>
      <c r="AA73" s="1548"/>
      <c r="AB73" s="502"/>
      <c r="AC73" s="502"/>
      <c r="AD73" s="502"/>
      <c r="AE73" s="502"/>
      <c r="AF73" s="1557">
        <v>11</v>
      </c>
    </row>
    <row r="74" spans="1:32" s="2335" customFormat="1" ht="11.45" customHeight="1">
      <c r="A74" s="910"/>
      <c r="B74" s="1552"/>
      <c r="C74" s="1552"/>
      <c r="D74" s="287"/>
      <c r="K74" s="1076"/>
      <c r="L74" s="1552"/>
      <c r="M74" s="1552"/>
      <c r="N74" s="1076"/>
      <c r="O74" s="1076"/>
      <c r="P74" s="1076"/>
      <c r="Q74" s="1076"/>
      <c r="R74" s="1552"/>
      <c r="S74" s="1076"/>
      <c r="T74" s="1076"/>
      <c r="U74" s="480"/>
      <c r="V74" s="1076"/>
      <c r="W74" s="1076"/>
      <c r="X74" s="1076"/>
      <c r="Y74" s="1076"/>
      <c r="Z74" s="1076"/>
      <c r="AA74" s="1548"/>
      <c r="AB74" s="502"/>
      <c r="AC74" s="502"/>
      <c r="AD74" s="502"/>
      <c r="AE74" s="502"/>
      <c r="AF74" s="1557">
        <v>11</v>
      </c>
    </row>
    <row r="75" spans="1:32" s="2335" customFormat="1" ht="11.45" customHeight="1">
      <c r="A75" s="910"/>
      <c r="B75" s="1552"/>
      <c r="C75" s="1552"/>
      <c r="D75" s="287"/>
      <c r="K75" s="1076"/>
      <c r="L75" s="1552"/>
      <c r="M75" s="1552"/>
      <c r="N75" s="1076"/>
      <c r="O75" s="1076"/>
      <c r="P75" s="1076"/>
      <c r="Q75" s="1076"/>
      <c r="R75" s="1552"/>
      <c r="S75" s="1076"/>
      <c r="T75" s="1076"/>
      <c r="U75" s="480"/>
      <c r="V75" s="1076"/>
      <c r="W75" s="1076"/>
      <c r="X75" s="1076"/>
      <c r="Y75" s="1076"/>
      <c r="Z75" s="1076"/>
      <c r="AA75" s="1548"/>
      <c r="AB75" s="502"/>
      <c r="AC75" s="502"/>
      <c r="AD75" s="502"/>
      <c r="AE75" s="502"/>
      <c r="AF75" s="1557">
        <v>11</v>
      </c>
    </row>
    <row r="76" spans="1:32" s="2335" customFormat="1" ht="11.45" customHeight="1">
      <c r="A76" s="910"/>
      <c r="B76" s="1552"/>
      <c r="C76" s="1552"/>
      <c r="D76" s="287"/>
      <c r="K76" s="1076"/>
      <c r="L76" s="1552"/>
      <c r="M76" s="1552"/>
      <c r="N76" s="1076"/>
      <c r="O76" s="1076"/>
      <c r="P76" s="1076"/>
      <c r="Q76" s="1076"/>
      <c r="R76" s="1552"/>
      <c r="S76" s="1076"/>
      <c r="T76" s="1076"/>
      <c r="U76" s="480"/>
      <c r="V76" s="1076"/>
      <c r="W76" s="1076"/>
      <c r="X76" s="1076"/>
      <c r="Y76" s="1076"/>
      <c r="Z76" s="1076"/>
      <c r="AA76" s="1548"/>
      <c r="AB76" s="502"/>
      <c r="AC76" s="502"/>
      <c r="AD76" s="502"/>
      <c r="AE76" s="502"/>
      <c r="AF76" s="1557">
        <v>11</v>
      </c>
    </row>
    <row r="77" spans="1:32" s="2335" customFormat="1" ht="11.45" customHeight="1">
      <c r="A77" s="910"/>
      <c r="B77" s="1552"/>
      <c r="C77" s="1552"/>
      <c r="D77" s="287"/>
      <c r="K77" s="1076"/>
      <c r="L77" s="1552"/>
      <c r="M77" s="1552"/>
      <c r="N77" s="1076"/>
      <c r="O77" s="1076"/>
      <c r="P77" s="1076"/>
      <c r="Q77" s="1076"/>
      <c r="R77" s="1552"/>
      <c r="S77" s="1076"/>
      <c r="T77" s="1076"/>
      <c r="U77" s="480"/>
      <c r="V77" s="1076"/>
      <c r="W77" s="1076"/>
      <c r="X77" s="1076"/>
      <c r="Y77" s="1076"/>
      <c r="Z77" s="1076"/>
      <c r="AA77" s="1548"/>
      <c r="AB77" s="502"/>
      <c r="AC77" s="502"/>
      <c r="AD77" s="502"/>
      <c r="AE77" s="502"/>
      <c r="AF77" s="1557">
        <v>11</v>
      </c>
    </row>
    <row r="78" spans="1:32" s="2335" customFormat="1" ht="11.45" customHeight="1">
      <c r="A78" s="910"/>
      <c r="B78" s="1552"/>
      <c r="C78" s="1552"/>
      <c r="D78" s="287"/>
      <c r="K78" s="1076"/>
      <c r="L78" s="1552"/>
      <c r="M78" s="1552"/>
      <c r="N78" s="1076"/>
      <c r="O78" s="1076"/>
      <c r="P78" s="1076"/>
      <c r="Q78" s="1076"/>
      <c r="R78" s="1552"/>
      <c r="S78" s="1076"/>
      <c r="T78" s="1076"/>
      <c r="U78" s="480"/>
      <c r="V78" s="1076"/>
      <c r="W78" s="1076"/>
      <c r="X78" s="1076"/>
      <c r="Y78" s="1076"/>
      <c r="Z78" s="1076"/>
      <c r="AA78" s="1548"/>
      <c r="AB78" s="502"/>
      <c r="AC78" s="502"/>
      <c r="AD78" s="502"/>
      <c r="AE78" s="502"/>
      <c r="AF78" s="1557">
        <v>11</v>
      </c>
    </row>
    <row r="79" spans="1:32" s="2335" customFormat="1" ht="11.45" customHeight="1">
      <c r="A79" s="910"/>
      <c r="B79" s="1552"/>
      <c r="C79" s="1552"/>
      <c r="D79" s="287"/>
      <c r="K79" s="1076"/>
      <c r="L79" s="1552"/>
      <c r="M79" s="1552"/>
      <c r="N79" s="1076"/>
      <c r="O79" s="1076"/>
      <c r="P79" s="1076"/>
      <c r="Q79" s="1076"/>
      <c r="R79" s="1552"/>
      <c r="S79" s="1076"/>
      <c r="T79" s="1076"/>
      <c r="U79" s="480"/>
      <c r="V79" s="1076"/>
      <c r="W79" s="1076"/>
      <c r="X79" s="1076"/>
      <c r="Y79" s="1076"/>
      <c r="Z79" s="1076"/>
      <c r="AA79" s="1548"/>
      <c r="AB79" s="502"/>
      <c r="AC79" s="502"/>
      <c r="AD79" s="502"/>
      <c r="AE79" s="502"/>
      <c r="AF79" s="1557">
        <v>11</v>
      </c>
    </row>
    <row r="80" spans="1:32" s="2335" customFormat="1" ht="11.45" customHeight="1">
      <c r="A80" s="910"/>
      <c r="B80" s="1552"/>
      <c r="C80" s="1552"/>
      <c r="D80" s="287"/>
      <c r="K80" s="1076"/>
      <c r="L80" s="1552"/>
      <c r="M80" s="1552"/>
      <c r="N80" s="1076"/>
      <c r="O80" s="1076"/>
      <c r="P80" s="1076"/>
      <c r="Q80" s="1076"/>
      <c r="R80" s="1552"/>
      <c r="S80" s="1076"/>
      <c r="T80" s="1076"/>
      <c r="U80" s="480"/>
      <c r="V80" s="1076"/>
      <c r="W80" s="1076"/>
      <c r="X80" s="1076"/>
      <c r="Y80" s="1076"/>
      <c r="Z80" s="1076"/>
      <c r="AA80" s="1548"/>
      <c r="AB80" s="502"/>
      <c r="AC80" s="502"/>
      <c r="AD80" s="502"/>
      <c r="AE80" s="502"/>
      <c r="AF80" s="1557">
        <v>11</v>
      </c>
    </row>
    <row r="81" spans="1:32" s="2335" customFormat="1" ht="11.45" customHeight="1">
      <c r="A81" s="910"/>
      <c r="B81" s="1552"/>
      <c r="C81" s="1552"/>
      <c r="D81" s="287"/>
      <c r="K81" s="1076"/>
      <c r="L81" s="1552"/>
      <c r="M81" s="1552"/>
      <c r="N81" s="1076"/>
      <c r="O81" s="1076"/>
      <c r="P81" s="1076"/>
      <c r="Q81" s="1076"/>
      <c r="R81" s="1552"/>
      <c r="S81" s="1076"/>
      <c r="T81" s="1076"/>
      <c r="U81" s="480"/>
      <c r="V81" s="1076"/>
      <c r="W81" s="1076"/>
      <c r="X81" s="1076"/>
      <c r="Y81" s="1076"/>
      <c r="Z81" s="1076"/>
      <c r="AA81" s="1548"/>
      <c r="AB81" s="502"/>
      <c r="AC81" s="502"/>
      <c r="AD81" s="502"/>
      <c r="AE81" s="502"/>
      <c r="AF81" s="1557">
        <v>11</v>
      </c>
    </row>
    <row r="82" spans="1:32" s="2335" customFormat="1" ht="11.45" customHeight="1">
      <c r="A82" s="910"/>
      <c r="B82" s="1552"/>
      <c r="C82" s="1552"/>
      <c r="D82" s="287"/>
      <c r="K82" s="1076"/>
      <c r="L82" s="1552"/>
      <c r="M82" s="1552"/>
      <c r="N82" s="1076"/>
      <c r="O82" s="1076"/>
      <c r="P82" s="1076"/>
      <c r="Q82" s="1076"/>
      <c r="R82" s="1552"/>
      <c r="S82" s="1076"/>
      <c r="T82" s="1076"/>
      <c r="U82" s="480"/>
      <c r="V82" s="1076"/>
      <c r="W82" s="1076"/>
      <c r="X82" s="1076"/>
      <c r="Y82" s="1076"/>
      <c r="Z82" s="1076"/>
      <c r="AA82" s="1548"/>
      <c r="AB82" s="502"/>
      <c r="AC82" s="502"/>
      <c r="AD82" s="502"/>
      <c r="AE82" s="502"/>
      <c r="AF82" s="1557">
        <v>11</v>
      </c>
    </row>
    <row r="83" spans="1:32" s="2335" customFormat="1" ht="11.45" customHeight="1">
      <c r="A83" s="910"/>
      <c r="B83" s="1552"/>
      <c r="C83" s="1552"/>
      <c r="D83" s="287"/>
      <c r="K83" s="1076"/>
      <c r="L83" s="1552"/>
      <c r="M83" s="1552"/>
      <c r="N83" s="1076"/>
      <c r="O83" s="1076"/>
      <c r="P83" s="1076"/>
      <c r="Q83" s="1076"/>
      <c r="R83" s="1552"/>
      <c r="S83" s="1076"/>
      <c r="T83" s="1076"/>
      <c r="U83" s="480"/>
      <c r="V83" s="1076"/>
      <c r="W83" s="1076"/>
      <c r="X83" s="1076"/>
      <c r="Y83" s="1076"/>
      <c r="Z83" s="1076"/>
      <c r="AA83" s="1548"/>
      <c r="AB83" s="502"/>
      <c r="AC83" s="502"/>
      <c r="AD83" s="502"/>
      <c r="AE83" s="502"/>
      <c r="AF83" s="1557">
        <v>11</v>
      </c>
    </row>
    <row r="84" spans="1:32" s="2335" customFormat="1" ht="11.45" customHeight="1">
      <c r="A84" s="910"/>
      <c r="B84" s="1552"/>
      <c r="C84" s="1552"/>
      <c r="D84" s="287"/>
      <c r="K84" s="1076"/>
      <c r="L84" s="1552"/>
      <c r="M84" s="1552"/>
      <c r="N84" s="1076"/>
      <c r="O84" s="1076"/>
      <c r="P84" s="1076"/>
      <c r="Q84" s="1076"/>
      <c r="R84" s="1552"/>
      <c r="S84" s="1076"/>
      <c r="T84" s="1076"/>
      <c r="U84" s="480"/>
      <c r="V84" s="1076"/>
      <c r="W84" s="1076"/>
      <c r="X84" s="1076"/>
      <c r="Y84" s="1076"/>
      <c r="Z84" s="1076"/>
      <c r="AA84" s="1548"/>
      <c r="AB84" s="502"/>
      <c r="AC84" s="502"/>
      <c r="AD84" s="502"/>
      <c r="AE84" s="502"/>
      <c r="AF84" s="1557">
        <v>11</v>
      </c>
    </row>
    <row r="85" spans="1:32" s="2335" customFormat="1" ht="11.45" customHeight="1">
      <c r="A85" s="910"/>
      <c r="B85" s="1552"/>
      <c r="C85" s="1552"/>
      <c r="D85" s="287"/>
      <c r="K85" s="1076"/>
      <c r="L85" s="1552"/>
      <c r="M85" s="1552"/>
      <c r="N85" s="1076"/>
      <c r="O85" s="1076"/>
      <c r="P85" s="1076"/>
      <c r="Q85" s="1076"/>
      <c r="R85" s="1552"/>
      <c r="S85" s="1076"/>
      <c r="T85" s="1076"/>
      <c r="U85" s="480"/>
      <c r="V85" s="1076"/>
      <c r="W85" s="1076"/>
      <c r="X85" s="1076"/>
      <c r="Y85" s="1076"/>
      <c r="Z85" s="1076"/>
      <c r="AA85" s="1548"/>
      <c r="AB85" s="502"/>
      <c r="AC85" s="502"/>
      <c r="AD85" s="502"/>
      <c r="AE85" s="502"/>
      <c r="AF85" s="1557">
        <v>11</v>
      </c>
    </row>
    <row r="86" spans="1:32" s="2335" customFormat="1" ht="11.45" customHeight="1">
      <c r="A86" s="910"/>
      <c r="B86" s="1552"/>
      <c r="C86" s="1552"/>
      <c r="D86" s="287"/>
      <c r="K86" s="1076"/>
      <c r="L86" s="1552"/>
      <c r="M86" s="1552"/>
      <c r="N86" s="1076"/>
      <c r="O86" s="1076"/>
      <c r="P86" s="1076"/>
      <c r="Q86" s="1076"/>
      <c r="R86" s="1552"/>
      <c r="S86" s="1076"/>
      <c r="T86" s="1076"/>
      <c r="U86" s="480"/>
      <c r="V86" s="1076"/>
      <c r="W86" s="1076"/>
      <c r="X86" s="1076"/>
      <c r="Y86" s="1076"/>
      <c r="Z86" s="1076"/>
      <c r="AA86" s="1548"/>
      <c r="AB86" s="502"/>
      <c r="AC86" s="502"/>
      <c r="AD86" s="502"/>
      <c r="AE86" s="502"/>
      <c r="AF86" s="1557">
        <v>11</v>
      </c>
    </row>
    <row r="87" spans="1:32" s="2335" customFormat="1" ht="11.45" customHeight="1">
      <c r="A87" s="910"/>
      <c r="B87" s="1552"/>
      <c r="C87" s="1552"/>
      <c r="D87" s="287"/>
      <c r="K87" s="1076"/>
      <c r="L87" s="1552"/>
      <c r="M87" s="1552"/>
      <c r="N87" s="1076"/>
      <c r="O87" s="1076"/>
      <c r="P87" s="1076"/>
      <c r="Q87" s="1076"/>
      <c r="R87" s="1552"/>
      <c r="S87" s="1076"/>
      <c r="T87" s="1076"/>
      <c r="U87" s="480"/>
      <c r="V87" s="1076"/>
      <c r="W87" s="1076"/>
      <c r="X87" s="1076"/>
      <c r="Y87" s="1076"/>
      <c r="Z87" s="1076"/>
      <c r="AA87" s="1548"/>
      <c r="AB87" s="502"/>
      <c r="AC87" s="502"/>
      <c r="AD87" s="502"/>
      <c r="AE87" s="502"/>
      <c r="AF87" s="1557">
        <v>11</v>
      </c>
    </row>
    <row r="88" spans="1:32" s="2335" customFormat="1" ht="11.45" customHeight="1">
      <c r="A88" s="910"/>
      <c r="B88" s="1552"/>
      <c r="C88" s="1552"/>
      <c r="D88" s="287"/>
      <c r="K88" s="1076"/>
      <c r="L88" s="1552"/>
      <c r="M88" s="1552"/>
      <c r="N88" s="1076"/>
      <c r="O88" s="1076"/>
      <c r="P88" s="1076"/>
      <c r="Q88" s="1076"/>
      <c r="R88" s="1552"/>
      <c r="S88" s="1076"/>
      <c r="T88" s="1076"/>
      <c r="U88" s="480"/>
      <c r="V88" s="1076"/>
      <c r="W88" s="1076"/>
      <c r="X88" s="1076"/>
      <c r="Y88" s="1076"/>
      <c r="Z88" s="1076"/>
      <c r="AA88" s="1548"/>
      <c r="AB88" s="502"/>
      <c r="AC88" s="502"/>
      <c r="AD88" s="502"/>
      <c r="AE88" s="502"/>
      <c r="AF88" s="1557">
        <v>11</v>
      </c>
    </row>
    <row r="89" spans="1:32" s="2335" customFormat="1" ht="11.45" customHeight="1">
      <c r="A89" s="910"/>
      <c r="B89" s="1552"/>
      <c r="C89" s="1552"/>
      <c r="D89" s="287"/>
      <c r="K89" s="1076"/>
      <c r="L89" s="1552"/>
      <c r="M89" s="1552"/>
      <c r="N89" s="1076"/>
      <c r="O89" s="1076"/>
      <c r="P89" s="1076"/>
      <c r="Q89" s="1076"/>
      <c r="R89" s="1552"/>
      <c r="S89" s="1076"/>
      <c r="T89" s="1076"/>
      <c r="U89" s="480"/>
      <c r="V89" s="1076"/>
      <c r="W89" s="1076"/>
      <c r="X89" s="1076"/>
      <c r="Y89" s="1076"/>
      <c r="Z89" s="1076"/>
      <c r="AA89" s="1548"/>
      <c r="AB89" s="502"/>
      <c r="AC89" s="502"/>
      <c r="AD89" s="502"/>
      <c r="AE89" s="502"/>
      <c r="AF89" s="1557">
        <v>11</v>
      </c>
    </row>
    <row r="90" spans="1:32" s="2335" customFormat="1" ht="11.45" customHeight="1">
      <c r="A90" s="910"/>
      <c r="B90" s="1552"/>
      <c r="C90" s="1552"/>
      <c r="D90" s="287"/>
      <c r="K90" s="1076"/>
      <c r="L90" s="1552"/>
      <c r="M90" s="1552"/>
      <c r="N90" s="1076"/>
      <c r="O90" s="1076"/>
      <c r="P90" s="1076"/>
      <c r="Q90" s="1076"/>
      <c r="R90" s="1552"/>
      <c r="S90" s="1076"/>
      <c r="T90" s="1076"/>
      <c r="U90" s="480"/>
      <c r="V90" s="1076"/>
      <c r="W90" s="1076"/>
      <c r="X90" s="1076"/>
      <c r="Y90" s="1076"/>
      <c r="Z90" s="1076"/>
      <c r="AA90" s="1548"/>
      <c r="AB90" s="502"/>
      <c r="AC90" s="502"/>
      <c r="AD90" s="502"/>
      <c r="AE90" s="502"/>
      <c r="AF90" s="1557">
        <v>11</v>
      </c>
    </row>
    <row r="91" spans="1:32" s="2335" customFormat="1" ht="11.45" customHeight="1">
      <c r="A91" s="910"/>
      <c r="B91" s="1552"/>
      <c r="C91" s="1552"/>
      <c r="D91" s="287"/>
      <c r="K91" s="1076"/>
      <c r="L91" s="1552"/>
      <c r="M91" s="1552"/>
      <c r="N91" s="1076"/>
      <c r="O91" s="1076"/>
      <c r="P91" s="1076"/>
      <c r="Q91" s="1076"/>
      <c r="R91" s="1552"/>
      <c r="S91" s="1076"/>
      <c r="T91" s="1076"/>
      <c r="U91" s="480"/>
      <c r="V91" s="1076"/>
      <c r="W91" s="1076"/>
      <c r="X91" s="1076"/>
      <c r="Y91" s="1076"/>
      <c r="Z91" s="1076"/>
      <c r="AA91" s="1548"/>
      <c r="AB91" s="502"/>
      <c r="AC91" s="502"/>
      <c r="AD91" s="502"/>
      <c r="AE91" s="502"/>
      <c r="AF91" s="1557">
        <v>11</v>
      </c>
    </row>
    <row r="92" spans="1:32" s="2335" customFormat="1" ht="11.45" customHeight="1">
      <c r="A92" s="910"/>
      <c r="B92" s="1552"/>
      <c r="C92" s="1552"/>
      <c r="D92" s="287"/>
      <c r="K92" s="1076"/>
      <c r="L92" s="1552"/>
      <c r="M92" s="1552"/>
      <c r="N92" s="1076"/>
      <c r="O92" s="1076"/>
      <c r="P92" s="1076"/>
      <c r="Q92" s="1076"/>
      <c r="R92" s="1552"/>
      <c r="S92" s="1076"/>
      <c r="T92" s="1076"/>
      <c r="U92" s="480"/>
      <c r="V92" s="1076"/>
      <c r="W92" s="1076"/>
      <c r="X92" s="1076"/>
      <c r="Y92" s="1076"/>
      <c r="Z92" s="1076"/>
      <c r="AA92" s="1548"/>
      <c r="AB92" s="502"/>
      <c r="AC92" s="502"/>
      <c r="AD92" s="502"/>
      <c r="AE92" s="502"/>
      <c r="AF92" s="1557">
        <v>11</v>
      </c>
    </row>
    <row r="93" spans="1:32" s="2335" customFormat="1" ht="11.45" customHeight="1">
      <c r="A93" s="910"/>
      <c r="B93" s="1552"/>
      <c r="C93" s="1552"/>
      <c r="D93" s="287"/>
      <c r="K93" s="1076"/>
      <c r="L93" s="1552"/>
      <c r="M93" s="1552"/>
      <c r="N93" s="1076"/>
      <c r="O93" s="1076"/>
      <c r="P93" s="1076"/>
      <c r="Q93" s="1076"/>
      <c r="R93" s="1552"/>
      <c r="S93" s="1076"/>
      <c r="T93" s="1076"/>
      <c r="U93" s="480"/>
      <c r="V93" s="1076"/>
      <c r="W93" s="1076"/>
      <c r="X93" s="1076"/>
      <c r="Y93" s="1076"/>
      <c r="Z93" s="1076"/>
      <c r="AA93" s="1548"/>
      <c r="AB93" s="502"/>
      <c r="AC93" s="502"/>
      <c r="AD93" s="502"/>
      <c r="AE93" s="502"/>
      <c r="AF93" s="1557">
        <v>11</v>
      </c>
    </row>
    <row r="94" spans="1:32" s="2335" customFormat="1" ht="11.45" customHeight="1">
      <c r="A94" s="910"/>
      <c r="B94" s="1552"/>
      <c r="C94" s="1552"/>
      <c r="D94" s="287"/>
      <c r="K94" s="1076"/>
      <c r="L94" s="1552"/>
      <c r="M94" s="1552"/>
      <c r="N94" s="1076"/>
      <c r="O94" s="1076"/>
      <c r="P94" s="1076"/>
      <c r="Q94" s="1076"/>
      <c r="R94" s="1552"/>
      <c r="S94" s="1076"/>
      <c r="T94" s="1076"/>
      <c r="U94" s="480"/>
      <c r="V94" s="1076"/>
      <c r="W94" s="1076"/>
      <c r="X94" s="1076"/>
      <c r="Y94" s="1076"/>
      <c r="Z94" s="1076"/>
      <c r="AA94" s="1548"/>
      <c r="AB94" s="502"/>
      <c r="AC94" s="502"/>
      <c r="AD94" s="502"/>
      <c r="AE94" s="502"/>
      <c r="AF94" s="1557">
        <v>11</v>
      </c>
    </row>
    <row r="95" spans="1:32" s="2335" customFormat="1" ht="11.45" customHeight="1">
      <c r="A95" s="910"/>
      <c r="B95" s="1552"/>
      <c r="C95" s="1552"/>
      <c r="D95" s="287"/>
      <c r="K95" s="1076"/>
      <c r="L95" s="1552"/>
      <c r="M95" s="1552"/>
      <c r="N95" s="1076"/>
      <c r="O95" s="1076"/>
      <c r="P95" s="1076"/>
      <c r="Q95" s="1076"/>
      <c r="R95" s="1552"/>
      <c r="S95" s="1076"/>
      <c r="T95" s="1076"/>
      <c r="U95" s="480"/>
      <c r="V95" s="1076"/>
      <c r="W95" s="1076"/>
      <c r="X95" s="1076"/>
      <c r="Y95" s="1076"/>
      <c r="Z95" s="1076"/>
      <c r="AA95" s="1548"/>
      <c r="AB95" s="502"/>
      <c r="AC95" s="502"/>
      <c r="AD95" s="502"/>
      <c r="AE95" s="502"/>
      <c r="AF95" s="1557">
        <v>11</v>
      </c>
    </row>
    <row r="96" spans="1:32" s="2335" customFormat="1" ht="11.45" customHeight="1">
      <c r="A96" s="910"/>
      <c r="B96" s="1552"/>
      <c r="C96" s="1552"/>
      <c r="D96" s="287"/>
      <c r="K96" s="1076"/>
      <c r="L96" s="1552"/>
      <c r="M96" s="1552"/>
      <c r="N96" s="1076"/>
      <c r="O96" s="1076"/>
      <c r="P96" s="1076"/>
      <c r="Q96" s="1076"/>
      <c r="R96" s="1552"/>
      <c r="S96" s="1076"/>
      <c r="T96" s="1076"/>
      <c r="U96" s="480"/>
      <c r="V96" s="1076"/>
      <c r="W96" s="1076"/>
      <c r="X96" s="1076"/>
      <c r="Y96" s="1076"/>
      <c r="Z96" s="1076"/>
      <c r="AA96" s="1548"/>
      <c r="AB96" s="502"/>
      <c r="AC96" s="502"/>
      <c r="AD96" s="502"/>
      <c r="AE96" s="502"/>
      <c r="AF96" s="1557">
        <v>11</v>
      </c>
    </row>
    <row r="97" spans="1:32" s="2335" customFormat="1" ht="11.45" customHeight="1">
      <c r="A97" s="910"/>
      <c r="B97" s="1552"/>
      <c r="C97" s="1552"/>
      <c r="D97" s="287"/>
      <c r="K97" s="1076"/>
      <c r="L97" s="1552"/>
      <c r="M97" s="1552"/>
      <c r="N97" s="1076"/>
      <c r="O97" s="1076"/>
      <c r="P97" s="1076"/>
      <c r="Q97" s="1076"/>
      <c r="R97" s="1552"/>
      <c r="S97" s="1076"/>
      <c r="T97" s="1076"/>
      <c r="U97" s="480"/>
      <c r="V97" s="1076"/>
      <c r="W97" s="1076"/>
      <c r="X97" s="1076"/>
      <c r="Y97" s="1076"/>
      <c r="Z97" s="1076"/>
      <c r="AA97" s="1548"/>
      <c r="AB97" s="502"/>
      <c r="AC97" s="502"/>
      <c r="AD97" s="502"/>
      <c r="AE97" s="502"/>
      <c r="AF97" s="1557">
        <v>11</v>
      </c>
    </row>
    <row r="98" spans="1:32" s="2335" customFormat="1" ht="11.45" customHeight="1">
      <c r="A98" s="910"/>
      <c r="B98" s="1552"/>
      <c r="C98" s="1552"/>
      <c r="D98" s="287"/>
      <c r="K98" s="1076"/>
      <c r="L98" s="1552"/>
      <c r="M98" s="1552"/>
      <c r="N98" s="1076"/>
      <c r="O98" s="1076"/>
      <c r="P98" s="1076"/>
      <c r="Q98" s="1076"/>
      <c r="R98" s="1552"/>
      <c r="S98" s="1076"/>
      <c r="T98" s="1076"/>
      <c r="U98" s="480"/>
      <c r="V98" s="1076"/>
      <c r="W98" s="1076"/>
      <c r="X98" s="1076"/>
      <c r="Y98" s="1076"/>
      <c r="Z98" s="1076"/>
      <c r="AA98" s="1548"/>
      <c r="AB98" s="502"/>
      <c r="AC98" s="502"/>
      <c r="AD98" s="502"/>
      <c r="AE98" s="502"/>
      <c r="AF98" s="1557">
        <v>11</v>
      </c>
    </row>
    <row r="99" spans="1:32" s="2335" customFormat="1" ht="11.45" customHeight="1">
      <c r="A99" s="910"/>
      <c r="B99" s="1552"/>
      <c r="C99" s="1552"/>
      <c r="D99" s="287"/>
      <c r="K99" s="1076"/>
      <c r="L99" s="1552"/>
      <c r="M99" s="1552"/>
      <c r="N99" s="1076"/>
      <c r="O99" s="1076"/>
      <c r="P99" s="1076"/>
      <c r="Q99" s="1076"/>
      <c r="R99" s="1552"/>
      <c r="S99" s="1076"/>
      <c r="T99" s="1076"/>
      <c r="U99" s="480"/>
      <c r="V99" s="1076"/>
      <c r="W99" s="1076"/>
      <c r="X99" s="1076"/>
      <c r="Y99" s="1076"/>
      <c r="Z99" s="1076"/>
      <c r="AA99" s="1548"/>
      <c r="AB99" s="502"/>
      <c r="AC99" s="502"/>
      <c r="AD99" s="502"/>
      <c r="AE99" s="502"/>
      <c r="AF99" s="1557">
        <v>11</v>
      </c>
    </row>
    <row r="100" spans="1:32" s="2335" customFormat="1" ht="11.45" customHeight="1">
      <c r="A100" s="910"/>
      <c r="B100" s="1552"/>
      <c r="C100" s="1552"/>
      <c r="D100" s="287"/>
      <c r="K100" s="1076"/>
      <c r="L100" s="1552"/>
      <c r="M100" s="1552"/>
      <c r="N100" s="1076"/>
      <c r="O100" s="1076"/>
      <c r="P100" s="1076"/>
      <c r="Q100" s="1076"/>
      <c r="R100" s="1552"/>
      <c r="S100" s="1076"/>
      <c r="T100" s="1076"/>
      <c r="U100" s="480"/>
      <c r="V100" s="1076"/>
      <c r="W100" s="1076"/>
      <c r="X100" s="1076"/>
      <c r="Y100" s="1076"/>
      <c r="Z100" s="1076"/>
      <c r="AA100" s="1548"/>
      <c r="AB100" s="502"/>
      <c r="AC100" s="502"/>
      <c r="AD100" s="502"/>
      <c r="AE100" s="502"/>
      <c r="AF100" s="1557">
        <v>11</v>
      </c>
    </row>
    <row r="101" spans="1:32" s="2335" customFormat="1" ht="11.45" customHeight="1">
      <c r="A101" s="910"/>
      <c r="B101" s="1552"/>
      <c r="C101" s="1552"/>
      <c r="D101" s="287"/>
      <c r="K101" s="1076"/>
      <c r="L101" s="1552"/>
      <c r="M101" s="1552"/>
      <c r="N101" s="1076"/>
      <c r="O101" s="1076"/>
      <c r="P101" s="1076"/>
      <c r="Q101" s="1076"/>
      <c r="R101" s="1552"/>
      <c r="S101" s="1076"/>
      <c r="T101" s="1076"/>
      <c r="U101" s="480"/>
      <c r="V101" s="1076"/>
      <c r="W101" s="1076"/>
      <c r="X101" s="1076"/>
      <c r="Y101" s="1076"/>
      <c r="Z101" s="1076"/>
      <c r="AA101" s="1548"/>
      <c r="AB101" s="502"/>
      <c r="AC101" s="502"/>
      <c r="AD101" s="502"/>
      <c r="AE101" s="502"/>
      <c r="AF101" s="1557">
        <v>11</v>
      </c>
    </row>
    <row r="102" spans="1:32" s="2335" customFormat="1" ht="11.45" customHeight="1">
      <c r="A102" s="910"/>
      <c r="B102" s="1552"/>
      <c r="C102" s="1552"/>
      <c r="D102" s="287"/>
      <c r="K102" s="1076"/>
      <c r="L102" s="1552"/>
      <c r="M102" s="1552"/>
      <c r="N102" s="1076"/>
      <c r="O102" s="1076"/>
      <c r="P102" s="1076"/>
      <c r="Q102" s="1076"/>
      <c r="R102" s="1552"/>
      <c r="S102" s="1076"/>
      <c r="T102" s="1076"/>
      <c r="U102" s="480"/>
      <c r="V102" s="1076"/>
      <c r="W102" s="1076"/>
      <c r="X102" s="1076"/>
      <c r="Y102" s="1076"/>
      <c r="Z102" s="1076"/>
      <c r="AA102" s="1548"/>
      <c r="AB102" s="502"/>
      <c r="AC102" s="502"/>
      <c r="AD102" s="502"/>
      <c r="AE102" s="502"/>
      <c r="AF102" s="1557">
        <v>11</v>
      </c>
    </row>
    <row r="103" spans="1:32" s="2335" customFormat="1" ht="11.45" customHeight="1">
      <c r="A103" s="910"/>
      <c r="B103" s="1552"/>
      <c r="C103" s="1552"/>
      <c r="D103" s="287"/>
      <c r="K103" s="1076"/>
      <c r="L103" s="1552"/>
      <c r="M103" s="1552"/>
      <c r="N103" s="1076"/>
      <c r="O103" s="1076"/>
      <c r="P103" s="1076"/>
      <c r="Q103" s="1076"/>
      <c r="R103" s="1552"/>
      <c r="S103" s="1076"/>
      <c r="T103" s="1076"/>
      <c r="U103" s="480"/>
      <c r="V103" s="1076"/>
      <c r="W103" s="1076"/>
      <c r="X103" s="1076"/>
      <c r="Y103" s="1076"/>
      <c r="Z103" s="1076"/>
      <c r="AA103" s="1548"/>
      <c r="AB103" s="502"/>
      <c r="AC103" s="502"/>
      <c r="AD103" s="502"/>
      <c r="AE103" s="502"/>
      <c r="AF103" s="1557">
        <v>11</v>
      </c>
    </row>
    <row r="104" spans="1:32" s="2335" customFormat="1" ht="11.45" customHeight="1">
      <c r="A104" s="910"/>
      <c r="B104" s="1552"/>
      <c r="C104" s="1552"/>
      <c r="D104" s="287"/>
      <c r="K104" s="1076"/>
      <c r="L104" s="1552"/>
      <c r="M104" s="1552"/>
      <c r="N104" s="1076"/>
      <c r="O104" s="1076"/>
      <c r="P104" s="1076"/>
      <c r="Q104" s="1076"/>
      <c r="R104" s="1552"/>
      <c r="S104" s="1076"/>
      <c r="T104" s="1076"/>
      <c r="U104" s="480"/>
      <c r="V104" s="1076"/>
      <c r="W104" s="1076"/>
      <c r="X104" s="1076"/>
      <c r="Y104" s="1076"/>
      <c r="Z104" s="1076"/>
      <c r="AA104" s="1548"/>
      <c r="AB104" s="502"/>
      <c r="AC104" s="502"/>
      <c r="AD104" s="502"/>
      <c r="AE104" s="502"/>
      <c r="AF104" s="1557">
        <v>11</v>
      </c>
    </row>
    <row r="105" spans="1:32" s="2335" customFormat="1" ht="11.45" customHeight="1">
      <c r="A105" s="910"/>
      <c r="B105" s="1552"/>
      <c r="C105" s="1552"/>
      <c r="D105" s="287"/>
      <c r="K105" s="1076"/>
      <c r="L105" s="1552"/>
      <c r="M105" s="1552"/>
      <c r="N105" s="1076"/>
      <c r="O105" s="1076"/>
      <c r="P105" s="1076"/>
      <c r="Q105" s="1076"/>
      <c r="R105" s="1552"/>
      <c r="S105" s="1076"/>
      <c r="T105" s="1076"/>
      <c r="U105" s="480"/>
      <c r="V105" s="1076"/>
      <c r="W105" s="1076"/>
      <c r="X105" s="1076"/>
      <c r="Y105" s="1076"/>
      <c r="Z105" s="1076"/>
      <c r="AA105" s="1548"/>
      <c r="AB105" s="502"/>
      <c r="AC105" s="502"/>
      <c r="AD105" s="502"/>
      <c r="AE105" s="502"/>
      <c r="AF105" s="1557">
        <v>11</v>
      </c>
    </row>
    <row r="106" spans="1:32" s="2335" customFormat="1" ht="11.45" customHeight="1">
      <c r="A106" s="910"/>
      <c r="B106" s="1552"/>
      <c r="C106" s="1552"/>
      <c r="D106" s="287"/>
      <c r="K106" s="1076"/>
      <c r="L106" s="1552"/>
      <c r="M106" s="1552"/>
      <c r="N106" s="1076"/>
      <c r="O106" s="1076"/>
      <c r="P106" s="1076"/>
      <c r="Q106" s="1076"/>
      <c r="R106" s="1552"/>
      <c r="S106" s="1076"/>
      <c r="T106" s="1076"/>
      <c r="U106" s="480"/>
      <c r="V106" s="1076"/>
      <c r="W106" s="1076"/>
      <c r="X106" s="1076"/>
      <c r="Y106" s="1076"/>
      <c r="Z106" s="1076"/>
      <c r="AA106" s="1548"/>
      <c r="AB106" s="502"/>
      <c r="AC106" s="502"/>
      <c r="AD106" s="502"/>
      <c r="AE106" s="502"/>
      <c r="AF106" s="1557">
        <v>11</v>
      </c>
    </row>
    <row r="107" spans="1:32" s="2335" customFormat="1" ht="11.45" customHeight="1">
      <c r="A107" s="910"/>
      <c r="B107" s="1552"/>
      <c r="C107" s="1552"/>
      <c r="D107" s="287"/>
      <c r="K107" s="1076"/>
      <c r="L107" s="1552"/>
      <c r="M107" s="1552"/>
      <c r="N107" s="1076"/>
      <c r="O107" s="1076"/>
      <c r="P107" s="1076"/>
      <c r="Q107" s="1076"/>
      <c r="R107" s="1552"/>
      <c r="S107" s="1076"/>
      <c r="T107" s="1076"/>
      <c r="U107" s="480"/>
      <c r="V107" s="1076"/>
      <c r="W107" s="1076"/>
      <c r="X107" s="1076"/>
      <c r="Y107" s="1076"/>
      <c r="Z107" s="1076"/>
      <c r="AA107" s="1548"/>
      <c r="AB107" s="502"/>
      <c r="AC107" s="502"/>
      <c r="AD107" s="502"/>
      <c r="AE107" s="502"/>
      <c r="AF107" s="1557">
        <v>11</v>
      </c>
    </row>
    <row r="108" spans="1:32" s="2335" customFormat="1" ht="11.45" customHeight="1">
      <c r="A108" s="910"/>
      <c r="B108" s="1552"/>
      <c r="C108" s="1552"/>
      <c r="D108" s="287"/>
      <c r="K108" s="1076"/>
      <c r="L108" s="1552"/>
      <c r="M108" s="1552"/>
      <c r="N108" s="1076"/>
      <c r="O108" s="1076"/>
      <c r="P108" s="1076"/>
      <c r="Q108" s="1076"/>
      <c r="R108" s="1552"/>
      <c r="S108" s="1076"/>
      <c r="T108" s="1076"/>
      <c r="U108" s="480"/>
      <c r="V108" s="1076"/>
      <c r="W108" s="1076"/>
      <c r="X108" s="1076"/>
      <c r="Y108" s="1076"/>
      <c r="Z108" s="1076"/>
      <c r="AA108" s="1548"/>
      <c r="AB108" s="502"/>
      <c r="AC108" s="502"/>
      <c r="AD108" s="502"/>
      <c r="AE108" s="502"/>
      <c r="AF108" s="1557">
        <v>11</v>
      </c>
    </row>
    <row r="109" spans="1:32" s="2335" customFormat="1" ht="11.45" customHeight="1">
      <c r="A109" s="910"/>
      <c r="B109" s="1552"/>
      <c r="C109" s="1552"/>
      <c r="D109" s="287"/>
      <c r="K109" s="1076"/>
      <c r="L109" s="1552"/>
      <c r="M109" s="1552"/>
      <c r="N109" s="1076"/>
      <c r="O109" s="1076"/>
      <c r="P109" s="1076"/>
      <c r="Q109" s="1076"/>
      <c r="R109" s="1552"/>
      <c r="S109" s="1076"/>
      <c r="T109" s="1076"/>
      <c r="U109" s="480"/>
      <c r="V109" s="1076"/>
      <c r="W109" s="1076"/>
      <c r="X109" s="1076"/>
      <c r="Y109" s="1076"/>
      <c r="Z109" s="1076"/>
      <c r="AA109" s="1548"/>
      <c r="AB109" s="502"/>
      <c r="AC109" s="502"/>
      <c r="AD109" s="502"/>
      <c r="AE109" s="502"/>
      <c r="AF109" s="1557">
        <v>11</v>
      </c>
    </row>
    <row r="110" spans="1:32" s="2335" customFormat="1" ht="11.45" customHeight="1">
      <c r="A110" s="910"/>
      <c r="B110" s="1552"/>
      <c r="C110" s="1552"/>
      <c r="D110" s="287"/>
      <c r="K110" s="1076"/>
      <c r="L110" s="1552"/>
      <c r="M110" s="1552"/>
      <c r="N110" s="1076"/>
      <c r="O110" s="1076"/>
      <c r="P110" s="1076"/>
      <c r="Q110" s="1076"/>
      <c r="R110" s="1552"/>
      <c r="S110" s="1076"/>
      <c r="T110" s="1076"/>
      <c r="U110" s="480"/>
      <c r="V110" s="1076"/>
      <c r="W110" s="1076"/>
      <c r="X110" s="1076"/>
      <c r="Y110" s="1076"/>
      <c r="Z110" s="1076"/>
      <c r="AA110" s="1548"/>
      <c r="AB110" s="502"/>
      <c r="AC110" s="502"/>
      <c r="AD110" s="502"/>
      <c r="AE110" s="502"/>
      <c r="AF110" s="1557">
        <v>11</v>
      </c>
    </row>
    <row r="111" spans="1:32" s="2335" customFormat="1" ht="11.45" customHeight="1">
      <c r="A111" s="910"/>
      <c r="B111" s="1552"/>
      <c r="C111" s="1552"/>
      <c r="D111" s="287"/>
      <c r="K111" s="1076"/>
      <c r="L111" s="1552"/>
      <c r="M111" s="1552"/>
      <c r="N111" s="1076"/>
      <c r="O111" s="1076"/>
      <c r="P111" s="1076"/>
      <c r="Q111" s="1076"/>
      <c r="R111" s="1552"/>
      <c r="S111" s="1076"/>
      <c r="T111" s="1076"/>
      <c r="U111" s="480"/>
      <c r="V111" s="1076"/>
      <c r="W111" s="1076"/>
      <c r="X111" s="1076"/>
      <c r="Y111" s="1076"/>
      <c r="Z111" s="1076"/>
      <c r="AA111" s="1548"/>
      <c r="AB111" s="502"/>
      <c r="AC111" s="502"/>
      <c r="AD111" s="502"/>
      <c r="AE111" s="502"/>
      <c r="AF111" s="1557">
        <v>11</v>
      </c>
    </row>
    <row r="112" spans="1:32" s="2335" customFormat="1" ht="11.45" customHeight="1">
      <c r="A112" s="910"/>
      <c r="B112" s="1552"/>
      <c r="C112" s="1552"/>
      <c r="D112" s="287"/>
      <c r="K112" s="1076"/>
      <c r="L112" s="1552"/>
      <c r="M112" s="1552"/>
      <c r="N112" s="1076"/>
      <c r="O112" s="1076"/>
      <c r="P112" s="1076"/>
      <c r="Q112" s="1076"/>
      <c r="R112" s="1552"/>
      <c r="S112" s="1076"/>
      <c r="T112" s="1076"/>
      <c r="U112" s="480"/>
      <c r="V112" s="1076"/>
      <c r="W112" s="1076"/>
      <c r="X112" s="1076"/>
      <c r="Y112" s="1076"/>
      <c r="Z112" s="1076"/>
      <c r="AA112" s="1548"/>
      <c r="AB112" s="502"/>
      <c r="AC112" s="502"/>
      <c r="AD112" s="502"/>
      <c r="AE112" s="502"/>
      <c r="AF112" s="1557">
        <v>11</v>
      </c>
    </row>
    <row r="113" spans="1:32" s="2335" customFormat="1" ht="11.45" customHeight="1">
      <c r="A113" s="910"/>
      <c r="B113" s="1552"/>
      <c r="C113" s="1552"/>
      <c r="D113" s="287"/>
      <c r="K113" s="1076"/>
      <c r="L113" s="1552"/>
      <c r="M113" s="1552"/>
      <c r="N113" s="1076"/>
      <c r="O113" s="1076"/>
      <c r="P113" s="1076"/>
      <c r="Q113" s="1076"/>
      <c r="R113" s="1552"/>
      <c r="S113" s="1076"/>
      <c r="T113" s="1076"/>
      <c r="U113" s="480"/>
      <c r="V113" s="1076"/>
      <c r="W113" s="1076"/>
      <c r="X113" s="1076"/>
      <c r="Y113" s="1076"/>
      <c r="Z113" s="1076"/>
      <c r="AA113" s="1548"/>
      <c r="AB113" s="502"/>
      <c r="AC113" s="502"/>
      <c r="AD113" s="502"/>
      <c r="AE113" s="502"/>
      <c r="AF113" s="1557">
        <v>11</v>
      </c>
    </row>
    <row r="114" spans="1:32" s="2335" customFormat="1" ht="11.45" customHeight="1">
      <c r="A114" s="910"/>
      <c r="B114" s="1552"/>
      <c r="C114" s="1552"/>
      <c r="D114" s="287"/>
      <c r="K114" s="1076"/>
      <c r="L114" s="1552"/>
      <c r="M114" s="1552"/>
      <c r="N114" s="1076"/>
      <c r="O114" s="1076"/>
      <c r="P114" s="1076"/>
      <c r="Q114" s="1076"/>
      <c r="R114" s="1552"/>
      <c r="S114" s="1076"/>
      <c r="T114" s="1076"/>
      <c r="U114" s="480"/>
      <c r="V114" s="1076"/>
      <c r="W114" s="1076"/>
      <c r="X114" s="1076"/>
      <c r="Y114" s="1076"/>
      <c r="Z114" s="1076"/>
      <c r="AA114" s="1548"/>
      <c r="AB114" s="502"/>
      <c r="AC114" s="502"/>
      <c r="AD114" s="502"/>
      <c r="AE114" s="502"/>
      <c r="AF114" s="1557">
        <v>11</v>
      </c>
    </row>
    <row r="115" spans="1:32" s="2335" customFormat="1" ht="11.45" customHeight="1">
      <c r="A115" s="910"/>
      <c r="B115" s="1552"/>
      <c r="C115" s="1552"/>
      <c r="D115" s="287"/>
      <c r="K115" s="1076"/>
      <c r="L115" s="1552"/>
      <c r="M115" s="1552"/>
      <c r="N115" s="1076"/>
      <c r="O115" s="1076"/>
      <c r="P115" s="1076"/>
      <c r="Q115" s="1076"/>
      <c r="R115" s="1552"/>
      <c r="S115" s="1076"/>
      <c r="T115" s="1076"/>
      <c r="U115" s="480"/>
      <c r="V115" s="1076"/>
      <c r="W115" s="1076"/>
      <c r="X115" s="1076"/>
      <c r="Y115" s="1076"/>
      <c r="Z115" s="1076"/>
      <c r="AA115" s="1548"/>
      <c r="AB115" s="502"/>
      <c r="AC115" s="502"/>
      <c r="AD115" s="502"/>
      <c r="AE115" s="502"/>
      <c r="AF115" s="1557">
        <v>11</v>
      </c>
    </row>
    <row r="116" spans="1:32" s="2335" customFormat="1" ht="11.45" customHeight="1">
      <c r="A116" s="910"/>
      <c r="B116" s="1552"/>
      <c r="C116" s="1552"/>
      <c r="D116" s="287"/>
      <c r="K116" s="1076"/>
      <c r="L116" s="1552"/>
      <c r="M116" s="1552"/>
      <c r="N116" s="1076"/>
      <c r="O116" s="1076"/>
      <c r="P116" s="1076"/>
      <c r="Q116" s="1076"/>
      <c r="R116" s="1552"/>
      <c r="S116" s="1076"/>
      <c r="T116" s="1076"/>
      <c r="U116" s="480"/>
      <c r="V116" s="1076"/>
      <c r="W116" s="1076"/>
      <c r="X116" s="1076"/>
      <c r="Y116" s="1076"/>
      <c r="Z116" s="1076"/>
      <c r="AA116" s="1548"/>
      <c r="AB116" s="502"/>
      <c r="AC116" s="502"/>
      <c r="AD116" s="502"/>
      <c r="AE116" s="502"/>
      <c r="AF116" s="1557">
        <v>11</v>
      </c>
    </row>
    <row r="117" spans="1:32" s="2335" customFormat="1" ht="11.45" customHeight="1">
      <c r="A117" s="910"/>
      <c r="B117" s="1552"/>
      <c r="C117" s="1552"/>
      <c r="D117" s="287"/>
      <c r="K117" s="1076"/>
      <c r="L117" s="1552"/>
      <c r="M117" s="1552"/>
      <c r="N117" s="1076"/>
      <c r="O117" s="1076"/>
      <c r="P117" s="1076"/>
      <c r="Q117" s="1076"/>
      <c r="R117" s="1552"/>
      <c r="S117" s="1076"/>
      <c r="T117" s="1076"/>
      <c r="U117" s="480"/>
      <c r="V117" s="1076"/>
      <c r="W117" s="1076"/>
      <c r="X117" s="1076"/>
      <c r="Y117" s="1076"/>
      <c r="Z117" s="1076"/>
      <c r="AA117" s="1548"/>
      <c r="AB117" s="502"/>
      <c r="AC117" s="502"/>
      <c r="AD117" s="502"/>
      <c r="AE117" s="502"/>
      <c r="AF117" s="1557">
        <v>11</v>
      </c>
    </row>
    <row r="118" spans="1:32" s="2335" customFormat="1" ht="11.45" customHeight="1">
      <c r="A118" s="910"/>
      <c r="B118" s="1552"/>
      <c r="C118" s="1552"/>
      <c r="D118" s="287"/>
      <c r="K118" s="1076"/>
      <c r="L118" s="1552"/>
      <c r="M118" s="1552"/>
      <c r="N118" s="1076"/>
      <c r="O118" s="1076"/>
      <c r="P118" s="1076"/>
      <c r="Q118" s="1076"/>
      <c r="R118" s="1552"/>
      <c r="S118" s="1076"/>
      <c r="T118" s="1076"/>
      <c r="U118" s="480"/>
      <c r="V118" s="1076"/>
      <c r="W118" s="1076"/>
      <c r="X118" s="1076"/>
      <c r="Y118" s="1076"/>
      <c r="Z118" s="1076"/>
      <c r="AA118" s="1548"/>
      <c r="AB118" s="502"/>
      <c r="AC118" s="502"/>
      <c r="AD118" s="502"/>
      <c r="AE118" s="502"/>
      <c r="AF118" s="1557">
        <v>11</v>
      </c>
    </row>
    <row r="119" spans="1:32" s="2335" customFormat="1" ht="11.45" customHeight="1">
      <c r="A119" s="910"/>
      <c r="B119" s="1552"/>
      <c r="C119" s="1552"/>
      <c r="D119" s="287"/>
      <c r="K119" s="1076"/>
      <c r="L119" s="1552"/>
      <c r="M119" s="1552"/>
      <c r="N119" s="1076"/>
      <c r="O119" s="1076"/>
      <c r="P119" s="1076"/>
      <c r="Q119" s="1076"/>
      <c r="R119" s="1552"/>
      <c r="S119" s="1076"/>
      <c r="T119" s="1076"/>
      <c r="U119" s="480"/>
      <c r="V119" s="1076"/>
      <c r="W119" s="1076"/>
      <c r="X119" s="1076"/>
      <c r="Y119" s="1076"/>
      <c r="Z119" s="1076"/>
      <c r="AA119" s="1548"/>
      <c r="AB119" s="502"/>
      <c r="AC119" s="502"/>
      <c r="AD119" s="502"/>
      <c r="AE119" s="502"/>
      <c r="AF119" s="1557">
        <v>11</v>
      </c>
    </row>
    <row r="120" spans="1:32" s="2335" customFormat="1" ht="11.45" customHeight="1">
      <c r="A120" s="910"/>
      <c r="B120" s="1552"/>
      <c r="C120" s="1552"/>
      <c r="D120" s="287"/>
      <c r="K120" s="1076"/>
      <c r="L120" s="1552"/>
      <c r="M120" s="1552"/>
      <c r="N120" s="1076"/>
      <c r="O120" s="1076"/>
      <c r="P120" s="1076"/>
      <c r="Q120" s="1076"/>
      <c r="R120" s="1552"/>
      <c r="S120" s="1076"/>
      <c r="T120" s="1076"/>
      <c r="U120" s="480"/>
      <c r="V120" s="1076"/>
      <c r="W120" s="1076"/>
      <c r="X120" s="1076"/>
      <c r="Y120" s="1076"/>
      <c r="Z120" s="1076"/>
      <c r="AA120" s="1548"/>
      <c r="AB120" s="502"/>
      <c r="AC120" s="502"/>
      <c r="AD120" s="502"/>
      <c r="AE120" s="502"/>
      <c r="AF120" s="1557">
        <v>11</v>
      </c>
    </row>
    <row r="121" spans="1:32" s="2335" customFormat="1" ht="11.45" customHeight="1">
      <c r="A121" s="910"/>
      <c r="B121" s="1552"/>
      <c r="C121" s="1552"/>
      <c r="D121" s="287"/>
      <c r="K121" s="1076"/>
      <c r="L121" s="1552"/>
      <c r="M121" s="1552"/>
      <c r="N121" s="1076"/>
      <c r="O121" s="1076"/>
      <c r="P121" s="1076"/>
      <c r="Q121" s="1076"/>
      <c r="R121" s="1552"/>
      <c r="S121" s="1076"/>
      <c r="T121" s="1076"/>
      <c r="U121" s="480"/>
      <c r="V121" s="1076"/>
      <c r="W121" s="1076"/>
      <c r="X121" s="1076"/>
      <c r="Y121" s="1076"/>
      <c r="Z121" s="1076"/>
      <c r="AA121" s="1548"/>
      <c r="AB121" s="502"/>
      <c r="AC121" s="502"/>
      <c r="AD121" s="502"/>
      <c r="AE121" s="502"/>
      <c r="AF121" s="1557">
        <v>11</v>
      </c>
    </row>
    <row r="122" spans="1:32" s="2335" customFormat="1" ht="11.45" customHeight="1">
      <c r="A122" s="910"/>
      <c r="B122" s="1552"/>
      <c r="C122" s="1552"/>
      <c r="D122" s="287"/>
      <c r="K122" s="1076"/>
      <c r="L122" s="1552"/>
      <c r="M122" s="1552"/>
      <c r="N122" s="1076"/>
      <c r="O122" s="1076"/>
      <c r="P122" s="1076"/>
      <c r="Q122" s="1076"/>
      <c r="R122" s="1552"/>
      <c r="S122" s="1076"/>
      <c r="T122" s="1076"/>
      <c r="U122" s="480"/>
      <c r="V122" s="1076"/>
      <c r="W122" s="1076"/>
      <c r="X122" s="1076"/>
      <c r="Y122" s="1076"/>
      <c r="Z122" s="1076"/>
      <c r="AA122" s="1548"/>
      <c r="AB122" s="502"/>
      <c r="AC122" s="502"/>
      <c r="AD122" s="502"/>
      <c r="AE122" s="502"/>
      <c r="AF122" s="1557">
        <v>11</v>
      </c>
    </row>
    <row r="123" spans="1:32" s="2335" customFormat="1" ht="11.45" customHeight="1">
      <c r="A123" s="910"/>
      <c r="B123" s="1552"/>
      <c r="C123" s="1552"/>
      <c r="D123" s="287"/>
      <c r="K123" s="1076"/>
      <c r="L123" s="1552"/>
      <c r="M123" s="1552"/>
      <c r="N123" s="1076"/>
      <c r="O123" s="1076"/>
      <c r="P123" s="1076"/>
      <c r="Q123" s="1076"/>
      <c r="R123" s="1552"/>
      <c r="S123" s="1076"/>
      <c r="T123" s="1076"/>
      <c r="U123" s="480"/>
      <c r="V123" s="1076"/>
      <c r="W123" s="1076"/>
      <c r="X123" s="1076"/>
      <c r="Y123" s="1076"/>
      <c r="Z123" s="1076"/>
      <c r="AA123" s="1548"/>
      <c r="AB123" s="502"/>
      <c r="AC123" s="502"/>
      <c r="AD123" s="502"/>
      <c r="AE123" s="502"/>
      <c r="AF123" s="1557">
        <v>11</v>
      </c>
    </row>
    <row r="124" spans="1:32" s="2335" customFormat="1" ht="11.45" customHeight="1">
      <c r="A124" s="910"/>
      <c r="B124" s="1552"/>
      <c r="C124" s="1552"/>
      <c r="D124" s="287"/>
      <c r="K124" s="1076"/>
      <c r="L124" s="1552"/>
      <c r="M124" s="1552"/>
      <c r="N124" s="1076"/>
      <c r="O124" s="1076"/>
      <c r="P124" s="1076"/>
      <c r="Q124" s="1076"/>
      <c r="R124" s="1552"/>
      <c r="S124" s="1076"/>
      <c r="T124" s="1076"/>
      <c r="U124" s="480"/>
      <c r="V124" s="1076"/>
      <c r="W124" s="1076"/>
      <c r="X124" s="1076"/>
      <c r="Y124" s="1076"/>
      <c r="Z124" s="1076"/>
      <c r="AA124" s="1548"/>
      <c r="AB124" s="502"/>
      <c r="AC124" s="502"/>
      <c r="AD124" s="502"/>
      <c r="AE124" s="502"/>
      <c r="AF124" s="1557">
        <v>11</v>
      </c>
    </row>
    <row r="125" spans="1:32" s="2335" customFormat="1" ht="11.45" customHeight="1">
      <c r="A125" s="910"/>
      <c r="B125" s="1552"/>
      <c r="C125" s="1552"/>
      <c r="D125" s="287"/>
      <c r="K125" s="1076"/>
      <c r="L125" s="1552"/>
      <c r="M125" s="1552"/>
      <c r="N125" s="1076"/>
      <c r="O125" s="1076"/>
      <c r="P125" s="1076"/>
      <c r="Q125" s="1076"/>
      <c r="R125" s="1552"/>
      <c r="S125" s="1076"/>
      <c r="T125" s="1076"/>
      <c r="U125" s="480"/>
      <c r="V125" s="1076"/>
      <c r="W125" s="1076"/>
      <c r="X125" s="1076"/>
      <c r="Y125" s="1076"/>
      <c r="Z125" s="1076"/>
      <c r="AA125" s="1548"/>
      <c r="AB125" s="502"/>
      <c r="AC125" s="502"/>
      <c r="AD125" s="502"/>
      <c r="AE125" s="502"/>
      <c r="AF125" s="1557">
        <v>11</v>
      </c>
    </row>
    <row r="126" spans="1:32" s="2335" customFormat="1" ht="11.45" customHeight="1">
      <c r="A126" s="910"/>
      <c r="B126" s="1552"/>
      <c r="C126" s="1552"/>
      <c r="D126" s="287"/>
      <c r="K126" s="1076"/>
      <c r="L126" s="1552"/>
      <c r="M126" s="1552"/>
      <c r="N126" s="1076"/>
      <c r="O126" s="1076"/>
      <c r="P126" s="1076"/>
      <c r="Q126" s="1076"/>
      <c r="R126" s="1552"/>
      <c r="S126" s="1076"/>
      <c r="T126" s="1076"/>
      <c r="U126" s="480"/>
      <c r="V126" s="1076"/>
      <c r="W126" s="1076"/>
      <c r="X126" s="1076"/>
      <c r="Y126" s="1076"/>
      <c r="Z126" s="1076"/>
      <c r="AA126" s="1548"/>
      <c r="AB126" s="502"/>
      <c r="AC126" s="502"/>
      <c r="AD126" s="502"/>
      <c r="AE126" s="502"/>
      <c r="AF126" s="1557">
        <v>11</v>
      </c>
    </row>
    <row r="127" spans="1:32" s="2335" customFormat="1" ht="11.45" customHeight="1">
      <c r="A127" s="910"/>
      <c r="B127" s="1552"/>
      <c r="C127" s="1552"/>
      <c r="D127" s="287"/>
      <c r="K127" s="1076"/>
      <c r="L127" s="1552"/>
      <c r="M127" s="1552"/>
      <c r="N127" s="1076"/>
      <c r="O127" s="1076"/>
      <c r="P127" s="1076"/>
      <c r="Q127" s="1076"/>
      <c r="R127" s="1552"/>
      <c r="S127" s="1076"/>
      <c r="T127" s="1076"/>
      <c r="U127" s="480"/>
      <c r="V127" s="1076"/>
      <c r="W127" s="1076"/>
      <c r="X127" s="1076"/>
      <c r="Y127" s="1076"/>
      <c r="Z127" s="1076"/>
      <c r="AA127" s="1548"/>
      <c r="AB127" s="502"/>
      <c r="AC127" s="502"/>
      <c r="AD127" s="502"/>
      <c r="AE127" s="502"/>
      <c r="AF127" s="1557">
        <v>11</v>
      </c>
    </row>
    <row r="128" spans="1:32" s="2335" customFormat="1" ht="11.45" customHeight="1">
      <c r="A128" s="910"/>
      <c r="B128" s="1552"/>
      <c r="C128" s="1552"/>
      <c r="D128" s="287"/>
      <c r="K128" s="1076"/>
      <c r="L128" s="1552"/>
      <c r="M128" s="1552"/>
      <c r="N128" s="1076"/>
      <c r="O128" s="1076"/>
      <c r="P128" s="1076"/>
      <c r="Q128" s="1076"/>
      <c r="R128" s="1552"/>
      <c r="S128" s="1076"/>
      <c r="T128" s="1076"/>
      <c r="U128" s="480"/>
      <c r="V128" s="1076"/>
      <c r="W128" s="1076"/>
      <c r="X128" s="1076"/>
      <c r="Y128" s="1076"/>
      <c r="Z128" s="1076"/>
      <c r="AA128" s="1548"/>
      <c r="AB128" s="502"/>
      <c r="AC128" s="502"/>
      <c r="AD128" s="502"/>
      <c r="AE128" s="502"/>
      <c r="AF128" s="1557">
        <v>11</v>
      </c>
    </row>
    <row r="129" spans="1:32" s="2335" customFormat="1" ht="11.45" customHeight="1">
      <c r="A129" s="910"/>
      <c r="B129" s="1552"/>
      <c r="C129" s="1552"/>
      <c r="D129" s="287"/>
      <c r="K129" s="1076"/>
      <c r="L129" s="1552"/>
      <c r="M129" s="1552"/>
      <c r="N129" s="1076"/>
      <c r="O129" s="1076"/>
      <c r="P129" s="1076"/>
      <c r="Q129" s="1076"/>
      <c r="R129" s="1552"/>
      <c r="S129" s="1076"/>
      <c r="T129" s="1076"/>
      <c r="U129" s="480"/>
      <c r="V129" s="1076"/>
      <c r="W129" s="1076"/>
      <c r="X129" s="1076"/>
      <c r="Y129" s="1076"/>
      <c r="Z129" s="1076"/>
      <c r="AA129" s="1548"/>
      <c r="AB129" s="502"/>
      <c r="AC129" s="502"/>
      <c r="AD129" s="502"/>
      <c r="AE129" s="502"/>
      <c r="AF129" s="1557">
        <v>11</v>
      </c>
    </row>
    <row r="130" spans="1:32" s="2335" customFormat="1" ht="11.45" customHeight="1">
      <c r="A130" s="910"/>
      <c r="B130" s="1552"/>
      <c r="C130" s="1552"/>
      <c r="D130" s="287"/>
      <c r="K130" s="1076"/>
      <c r="L130" s="1552"/>
      <c r="M130" s="1552"/>
      <c r="N130" s="1076"/>
      <c r="O130" s="1076"/>
      <c r="P130" s="1076"/>
      <c r="Q130" s="1076"/>
      <c r="R130" s="1552"/>
      <c r="S130" s="1076"/>
      <c r="T130" s="1076"/>
      <c r="U130" s="480"/>
      <c r="V130" s="1076"/>
      <c r="W130" s="1076"/>
      <c r="X130" s="1076"/>
      <c r="Y130" s="1076"/>
      <c r="Z130" s="1076"/>
      <c r="AA130" s="1548"/>
      <c r="AB130" s="502"/>
      <c r="AC130" s="502"/>
      <c r="AD130" s="502"/>
      <c r="AE130" s="502"/>
      <c r="AF130" s="1557">
        <v>11</v>
      </c>
    </row>
    <row r="131" spans="1:32" s="2335" customFormat="1" ht="11.45" customHeight="1">
      <c r="A131" s="910"/>
      <c r="B131" s="1552"/>
      <c r="C131" s="1552"/>
      <c r="D131" s="287"/>
      <c r="K131" s="1076"/>
      <c r="L131" s="1552"/>
      <c r="M131" s="1552"/>
      <c r="N131" s="1076"/>
      <c r="O131" s="1076"/>
      <c r="P131" s="1076"/>
      <c r="Q131" s="1076"/>
      <c r="R131" s="1552"/>
      <c r="S131" s="1076"/>
      <c r="T131" s="1076"/>
      <c r="U131" s="480"/>
      <c r="V131" s="1076"/>
      <c r="W131" s="1076"/>
      <c r="X131" s="1076"/>
      <c r="Y131" s="1076"/>
      <c r="Z131" s="1076"/>
      <c r="AA131" s="1548"/>
      <c r="AB131" s="502"/>
      <c r="AC131" s="502"/>
      <c r="AD131" s="502"/>
      <c r="AE131" s="502"/>
      <c r="AF131" s="1557">
        <v>11</v>
      </c>
    </row>
    <row r="132" spans="1:32" s="2335" customFormat="1" ht="11.45" customHeight="1">
      <c r="A132" s="910"/>
      <c r="B132" s="1552"/>
      <c r="C132" s="1552"/>
      <c r="D132" s="287"/>
      <c r="K132" s="1076"/>
      <c r="L132" s="1552"/>
      <c r="M132" s="1552"/>
      <c r="N132" s="1076"/>
      <c r="O132" s="1076"/>
      <c r="P132" s="1076"/>
      <c r="Q132" s="1076"/>
      <c r="R132" s="1552"/>
      <c r="S132" s="1076"/>
      <c r="T132" s="1076"/>
      <c r="U132" s="480"/>
      <c r="V132" s="1076"/>
      <c r="W132" s="1076"/>
      <c r="X132" s="1076"/>
      <c r="Y132" s="1076"/>
      <c r="Z132" s="1076"/>
      <c r="AA132" s="1548"/>
      <c r="AB132" s="502"/>
      <c r="AC132" s="502"/>
      <c r="AD132" s="502"/>
      <c r="AE132" s="502"/>
      <c r="AF132" s="1557">
        <v>11</v>
      </c>
    </row>
    <row r="133" spans="1:32" s="2335" customFormat="1" ht="11.45" customHeight="1">
      <c r="A133" s="910"/>
      <c r="B133" s="1552"/>
      <c r="C133" s="1552"/>
      <c r="D133" s="287"/>
      <c r="K133" s="1076"/>
      <c r="L133" s="1552"/>
      <c r="M133" s="1552"/>
      <c r="N133" s="1076"/>
      <c r="O133" s="1076"/>
      <c r="P133" s="1076"/>
      <c r="Q133" s="1076"/>
      <c r="R133" s="1552"/>
      <c r="S133" s="1076"/>
      <c r="T133" s="1076"/>
      <c r="U133" s="480"/>
      <c r="V133" s="1076"/>
      <c r="W133" s="1076"/>
      <c r="X133" s="1076"/>
      <c r="Y133" s="1076"/>
      <c r="Z133" s="1076"/>
      <c r="AA133" s="1548"/>
      <c r="AB133" s="502"/>
      <c r="AC133" s="502"/>
      <c r="AD133" s="502"/>
      <c r="AE133" s="502"/>
      <c r="AF133" s="1557">
        <v>11</v>
      </c>
    </row>
    <row r="134" spans="1:32" s="2335" customFormat="1" ht="11.45" customHeight="1">
      <c r="A134" s="910"/>
      <c r="B134" s="1552"/>
      <c r="C134" s="1552"/>
      <c r="D134" s="287"/>
      <c r="K134" s="1076"/>
      <c r="L134" s="1552"/>
      <c r="M134" s="1552"/>
      <c r="N134" s="1076"/>
      <c r="O134" s="1076"/>
      <c r="P134" s="1076"/>
      <c r="Q134" s="1076"/>
      <c r="R134" s="1552"/>
      <c r="S134" s="1076"/>
      <c r="T134" s="1076"/>
      <c r="U134" s="480"/>
      <c r="V134" s="1076"/>
      <c r="W134" s="1076"/>
      <c r="X134" s="1076"/>
      <c r="Y134" s="1076"/>
      <c r="Z134" s="1076"/>
      <c r="AA134" s="1548"/>
      <c r="AB134" s="502"/>
      <c r="AC134" s="502"/>
      <c r="AD134" s="502"/>
      <c r="AE134" s="502"/>
      <c r="AF134" s="1557">
        <v>11</v>
      </c>
    </row>
    <row r="135" spans="1:32" s="2335" customFormat="1" ht="11.45" customHeight="1">
      <c r="A135" s="910"/>
      <c r="B135" s="1552"/>
      <c r="C135" s="1552"/>
      <c r="D135" s="287"/>
      <c r="K135" s="1076"/>
      <c r="L135" s="1552"/>
      <c r="M135" s="1552"/>
      <c r="N135" s="1076"/>
      <c r="O135" s="1076"/>
      <c r="P135" s="1076"/>
      <c r="Q135" s="1076"/>
      <c r="R135" s="1552"/>
      <c r="S135" s="1076"/>
      <c r="T135" s="1076"/>
      <c r="U135" s="480"/>
      <c r="V135" s="1076"/>
      <c r="W135" s="1076"/>
      <c r="X135" s="1076"/>
      <c r="Y135" s="1076"/>
      <c r="Z135" s="1076"/>
      <c r="AA135" s="1548"/>
      <c r="AB135" s="502"/>
      <c r="AC135" s="502"/>
      <c r="AD135" s="502"/>
      <c r="AE135" s="502"/>
      <c r="AF135" s="1557">
        <v>11</v>
      </c>
    </row>
    <row r="136" spans="1:32" s="2335" customFormat="1" ht="11.45" customHeight="1">
      <c r="A136" s="910"/>
      <c r="B136" s="1552"/>
      <c r="C136" s="1552"/>
      <c r="D136" s="287"/>
      <c r="K136" s="1076"/>
      <c r="L136" s="1552"/>
      <c r="M136" s="1552"/>
      <c r="N136" s="1076"/>
      <c r="O136" s="1076"/>
      <c r="P136" s="1076"/>
      <c r="Q136" s="1076"/>
      <c r="R136" s="1552"/>
      <c r="S136" s="1076"/>
      <c r="T136" s="1076"/>
      <c r="U136" s="480"/>
      <c r="V136" s="1076"/>
      <c r="W136" s="1076"/>
      <c r="X136" s="1076"/>
      <c r="Y136" s="1076"/>
      <c r="Z136" s="1076"/>
      <c r="AA136" s="1548"/>
      <c r="AB136" s="502"/>
      <c r="AC136" s="502"/>
      <c r="AD136" s="502"/>
      <c r="AE136" s="502"/>
      <c r="AF136" s="1557">
        <v>11</v>
      </c>
    </row>
    <row r="137" spans="1:32" s="2335" customFormat="1" ht="11.45" customHeight="1">
      <c r="A137" s="910"/>
      <c r="B137" s="1552"/>
      <c r="C137" s="1552"/>
      <c r="D137" s="287"/>
      <c r="K137" s="1076"/>
      <c r="L137" s="1552"/>
      <c r="M137" s="1552"/>
      <c r="N137" s="1076"/>
      <c r="O137" s="1076"/>
      <c r="P137" s="1076"/>
      <c r="Q137" s="1076"/>
      <c r="R137" s="1552"/>
      <c r="S137" s="1076"/>
      <c r="T137" s="1076"/>
      <c r="U137" s="480"/>
      <c r="V137" s="1076"/>
      <c r="W137" s="1076"/>
      <c r="X137" s="1076"/>
      <c r="Y137" s="1076"/>
      <c r="Z137" s="1076"/>
      <c r="AA137" s="1548"/>
      <c r="AB137" s="502"/>
      <c r="AC137" s="502"/>
      <c r="AD137" s="502"/>
      <c r="AE137" s="502"/>
      <c r="AF137" s="1557">
        <v>11</v>
      </c>
    </row>
    <row r="138" spans="1:32" s="2335" customFormat="1" ht="11.45" customHeight="1">
      <c r="A138" s="910"/>
      <c r="B138" s="1552"/>
      <c r="C138" s="1552"/>
      <c r="D138" s="287"/>
      <c r="K138" s="1076"/>
      <c r="L138" s="1552"/>
      <c r="M138" s="1552"/>
      <c r="N138" s="1076"/>
      <c r="O138" s="1076"/>
      <c r="P138" s="1076"/>
      <c r="Q138" s="1076"/>
      <c r="R138" s="1552"/>
      <c r="S138" s="1076"/>
      <c r="T138" s="1076"/>
      <c r="U138" s="480"/>
      <c r="V138" s="1076"/>
      <c r="W138" s="1076"/>
      <c r="X138" s="1076"/>
      <c r="Y138" s="1076"/>
      <c r="Z138" s="1076"/>
      <c r="AA138" s="1548"/>
      <c r="AB138" s="502"/>
      <c r="AC138" s="502"/>
      <c r="AD138" s="502"/>
      <c r="AE138" s="502"/>
      <c r="AF138" s="1557">
        <v>11</v>
      </c>
    </row>
    <row r="139" spans="1:32" s="2335" customFormat="1" ht="11.45" customHeight="1">
      <c r="A139" s="910"/>
      <c r="B139" s="1552"/>
      <c r="C139" s="1552"/>
      <c r="D139" s="287"/>
      <c r="K139" s="1076"/>
      <c r="L139" s="1552"/>
      <c r="M139" s="1552"/>
      <c r="N139" s="1076"/>
      <c r="O139" s="1076"/>
      <c r="P139" s="1076"/>
      <c r="Q139" s="1076"/>
      <c r="R139" s="1552"/>
      <c r="S139" s="1076"/>
      <c r="T139" s="1076"/>
      <c r="U139" s="480"/>
      <c r="V139" s="1076"/>
      <c r="W139" s="1076"/>
      <c r="X139" s="1076"/>
      <c r="Y139" s="1076"/>
      <c r="Z139" s="1076"/>
      <c r="AA139" s="1548"/>
      <c r="AB139" s="502"/>
      <c r="AC139" s="502"/>
      <c r="AD139" s="502"/>
      <c r="AE139" s="502"/>
      <c r="AF139" s="1557">
        <v>11</v>
      </c>
    </row>
    <row r="140" spans="1:32" s="2335" customFormat="1" ht="11.45" customHeight="1">
      <c r="A140" s="910"/>
      <c r="B140" s="1552"/>
      <c r="C140" s="1552"/>
      <c r="D140" s="287"/>
      <c r="K140" s="1076"/>
      <c r="L140" s="1552"/>
      <c r="M140" s="1552"/>
      <c r="N140" s="1076"/>
      <c r="O140" s="1076"/>
      <c r="P140" s="1076"/>
      <c r="Q140" s="1076"/>
      <c r="R140" s="1552"/>
      <c r="S140" s="1076"/>
      <c r="T140" s="1076"/>
      <c r="U140" s="480"/>
      <c r="V140" s="1076"/>
      <c r="W140" s="1076"/>
      <c r="X140" s="1076"/>
      <c r="Y140" s="1076"/>
      <c r="Z140" s="1076"/>
      <c r="AA140" s="1548"/>
      <c r="AB140" s="502"/>
      <c r="AC140" s="502"/>
      <c r="AD140" s="502"/>
      <c r="AE140" s="502"/>
      <c r="AF140" s="1557">
        <v>11</v>
      </c>
    </row>
    <row r="141" spans="1:32" s="2335" customFormat="1" ht="11.45" customHeight="1">
      <c r="A141" s="910"/>
      <c r="B141" s="1552"/>
      <c r="C141" s="1552"/>
      <c r="D141" s="287"/>
      <c r="K141" s="1076"/>
      <c r="L141" s="1552"/>
      <c r="M141" s="1552"/>
      <c r="N141" s="1076"/>
      <c r="O141" s="1076"/>
      <c r="P141" s="1076"/>
      <c r="Q141" s="1076"/>
      <c r="R141" s="1552"/>
      <c r="S141" s="1076"/>
      <c r="T141" s="1076"/>
      <c r="U141" s="480"/>
      <c r="V141" s="1076"/>
      <c r="W141" s="1076"/>
      <c r="X141" s="1076"/>
      <c r="Y141" s="1076"/>
      <c r="Z141" s="1076"/>
      <c r="AA141" s="1548"/>
      <c r="AB141" s="502"/>
      <c r="AC141" s="502"/>
      <c r="AD141" s="502"/>
      <c r="AE141" s="502"/>
      <c r="AF141" s="1557">
        <v>11</v>
      </c>
    </row>
    <row r="142" spans="1:32" s="2335" customFormat="1" ht="11.45" customHeight="1">
      <c r="A142" s="910"/>
      <c r="B142" s="1552"/>
      <c r="C142" s="1552"/>
      <c r="D142" s="287"/>
      <c r="K142" s="1076"/>
      <c r="L142" s="1552"/>
      <c r="M142" s="1552"/>
      <c r="N142" s="1076"/>
      <c r="O142" s="1076"/>
      <c r="P142" s="1076"/>
      <c r="Q142" s="1076"/>
      <c r="R142" s="1552"/>
      <c r="S142" s="1076"/>
      <c r="T142" s="1076"/>
      <c r="U142" s="480"/>
      <c r="V142" s="1076"/>
      <c r="W142" s="1076"/>
      <c r="X142" s="1076"/>
      <c r="Y142" s="1076"/>
      <c r="Z142" s="1076"/>
      <c r="AA142" s="1548"/>
      <c r="AB142" s="502"/>
      <c r="AC142" s="502"/>
      <c r="AD142" s="502"/>
      <c r="AE142" s="502"/>
      <c r="AF142" s="1557">
        <v>11</v>
      </c>
    </row>
    <row r="143" spans="1:32" s="2335" customFormat="1" ht="11.45" customHeight="1">
      <c r="A143" s="910"/>
      <c r="B143" s="1552"/>
      <c r="C143" s="1552"/>
      <c r="D143" s="287"/>
      <c r="K143" s="1076"/>
      <c r="L143" s="1552"/>
      <c r="M143" s="1552"/>
      <c r="N143" s="1076"/>
      <c r="O143" s="1076"/>
      <c r="P143" s="1076"/>
      <c r="Q143" s="1076"/>
      <c r="R143" s="1552"/>
      <c r="S143" s="1076"/>
      <c r="T143" s="1076"/>
      <c r="U143" s="480"/>
      <c r="V143" s="1076"/>
      <c r="W143" s="1076"/>
      <c r="X143" s="1076"/>
      <c r="Y143" s="1076"/>
      <c r="Z143" s="1076"/>
      <c r="AA143" s="1548"/>
      <c r="AB143" s="502"/>
      <c r="AC143" s="502"/>
      <c r="AD143" s="502"/>
      <c r="AE143" s="502"/>
      <c r="AF143" s="1557">
        <v>11</v>
      </c>
    </row>
    <row r="144" spans="1:32" s="2335" customFormat="1" ht="11.45" customHeight="1">
      <c r="A144" s="910"/>
      <c r="B144" s="1552"/>
      <c r="C144" s="1552"/>
      <c r="D144" s="287"/>
      <c r="K144" s="1076"/>
      <c r="L144" s="1552"/>
      <c r="M144" s="1552"/>
      <c r="N144" s="1076"/>
      <c r="O144" s="1076"/>
      <c r="P144" s="1076"/>
      <c r="Q144" s="1076"/>
      <c r="R144" s="1552"/>
      <c r="S144" s="1076"/>
      <c r="T144" s="1076"/>
      <c r="U144" s="480"/>
      <c r="V144" s="1076"/>
      <c r="W144" s="1076"/>
      <c r="X144" s="1076"/>
      <c r="Y144" s="1076"/>
      <c r="Z144" s="1076"/>
      <c r="AA144" s="1548"/>
      <c r="AB144" s="502"/>
      <c r="AC144" s="502"/>
      <c r="AD144" s="502"/>
      <c r="AE144" s="502"/>
      <c r="AF144" s="1557">
        <v>11</v>
      </c>
    </row>
    <row r="145" spans="1:32" s="2335" customFormat="1" ht="11.45" customHeight="1">
      <c r="A145" s="910"/>
      <c r="B145" s="1552"/>
      <c r="C145" s="1552"/>
      <c r="D145" s="287"/>
      <c r="K145" s="1076"/>
      <c r="L145" s="1552"/>
      <c r="M145" s="1552"/>
      <c r="N145" s="1076"/>
      <c r="O145" s="1076"/>
      <c r="P145" s="1076"/>
      <c r="Q145" s="1076"/>
      <c r="R145" s="1552"/>
      <c r="S145" s="1076"/>
      <c r="T145" s="1076"/>
      <c r="U145" s="480"/>
      <c r="V145" s="1076"/>
      <c r="W145" s="1076"/>
      <c r="X145" s="1076"/>
      <c r="Y145" s="1076"/>
      <c r="Z145" s="1076"/>
      <c r="AA145" s="1548"/>
      <c r="AB145" s="502"/>
      <c r="AC145" s="502"/>
      <c r="AD145" s="502"/>
      <c r="AE145" s="502"/>
      <c r="AF145" s="1557">
        <v>11</v>
      </c>
    </row>
    <row r="146" spans="1:32" s="2335" customFormat="1" ht="11.45" customHeight="1">
      <c r="A146" s="910"/>
      <c r="B146" s="1552"/>
      <c r="C146" s="1552"/>
      <c r="D146" s="287"/>
      <c r="K146" s="1076"/>
      <c r="L146" s="1552"/>
      <c r="M146" s="1552"/>
      <c r="N146" s="1076"/>
      <c r="O146" s="1076"/>
      <c r="P146" s="1076"/>
      <c r="Q146" s="1076"/>
      <c r="R146" s="1552"/>
      <c r="S146" s="1076"/>
      <c r="T146" s="1076"/>
      <c r="U146" s="480"/>
      <c r="V146" s="1076"/>
      <c r="W146" s="1076"/>
      <c r="X146" s="1076"/>
      <c r="Y146" s="1076"/>
      <c r="Z146" s="1076"/>
      <c r="AA146" s="1548"/>
      <c r="AB146" s="502"/>
      <c r="AC146" s="502"/>
      <c r="AD146" s="502"/>
      <c r="AE146" s="502"/>
      <c r="AF146" s="1557">
        <v>11</v>
      </c>
    </row>
    <row r="147" spans="1:32" s="2335" customFormat="1" ht="11.45" customHeight="1">
      <c r="A147" s="910"/>
      <c r="B147" s="1552"/>
      <c r="C147" s="1552"/>
      <c r="D147" s="287"/>
      <c r="K147" s="1076"/>
      <c r="L147" s="1552"/>
      <c r="M147" s="1552"/>
      <c r="N147" s="1076"/>
      <c r="O147" s="1076"/>
      <c r="P147" s="1076"/>
      <c r="Q147" s="1076"/>
      <c r="R147" s="1552"/>
      <c r="S147" s="1076"/>
      <c r="T147" s="1076"/>
      <c r="U147" s="480"/>
      <c r="V147" s="1076"/>
      <c r="W147" s="1076"/>
      <c r="X147" s="1076"/>
      <c r="Y147" s="1076"/>
      <c r="Z147" s="1076"/>
      <c r="AA147" s="1548"/>
      <c r="AB147" s="502"/>
      <c r="AC147" s="502"/>
      <c r="AD147" s="502"/>
      <c r="AE147" s="502"/>
      <c r="AF147" s="1557">
        <v>11</v>
      </c>
    </row>
    <row r="148" spans="1:32" s="2335" customFormat="1" ht="11.45" customHeight="1">
      <c r="A148" s="910"/>
      <c r="B148" s="1552"/>
      <c r="C148" s="1552"/>
      <c r="D148" s="287"/>
      <c r="K148" s="1076"/>
      <c r="L148" s="1552"/>
      <c r="M148" s="1552"/>
      <c r="N148" s="1076"/>
      <c r="O148" s="1076"/>
      <c r="P148" s="1076"/>
      <c r="Q148" s="1076"/>
      <c r="R148" s="1552"/>
      <c r="S148" s="1076"/>
      <c r="T148" s="1076"/>
      <c r="U148" s="480"/>
      <c r="V148" s="1076"/>
      <c r="W148" s="1076"/>
      <c r="X148" s="1076"/>
      <c r="Y148" s="1076"/>
      <c r="Z148" s="1076"/>
      <c r="AA148" s="1548"/>
      <c r="AB148" s="502"/>
      <c r="AC148" s="502"/>
      <c r="AD148" s="502"/>
      <c r="AE148" s="502"/>
      <c r="AF148" s="1557">
        <v>11</v>
      </c>
    </row>
    <row r="149" spans="1:32" s="2335" customFormat="1" ht="11.45" customHeight="1">
      <c r="A149" s="910"/>
      <c r="B149" s="1552"/>
      <c r="C149" s="1552"/>
      <c r="D149" s="287"/>
      <c r="K149" s="1076"/>
      <c r="L149" s="1552"/>
      <c r="M149" s="1552"/>
      <c r="N149" s="1076"/>
      <c r="O149" s="1076"/>
      <c r="P149" s="1076"/>
      <c r="Q149" s="1076"/>
      <c r="R149" s="1552"/>
      <c r="S149" s="1076"/>
      <c r="T149" s="1076"/>
      <c r="U149" s="480"/>
      <c r="V149" s="1076"/>
      <c r="W149" s="1076"/>
      <c r="X149" s="1076"/>
      <c r="Y149" s="1076"/>
      <c r="Z149" s="1076"/>
      <c r="AA149" s="1548"/>
      <c r="AB149" s="502"/>
      <c r="AC149" s="502"/>
      <c r="AD149" s="502"/>
      <c r="AE149" s="502"/>
      <c r="AF149" s="1557">
        <v>11</v>
      </c>
    </row>
    <row r="150" spans="1:32" s="2335" customFormat="1" ht="11.45" customHeight="1">
      <c r="A150" s="910"/>
      <c r="B150" s="1552"/>
      <c r="C150" s="1552"/>
      <c r="D150" s="287"/>
      <c r="K150" s="1076"/>
      <c r="L150" s="1552"/>
      <c r="M150" s="1552"/>
      <c r="N150" s="1076"/>
      <c r="O150" s="1076"/>
      <c r="P150" s="1076"/>
      <c r="Q150" s="1076"/>
      <c r="R150" s="1552"/>
      <c r="S150" s="1076"/>
      <c r="T150" s="1076"/>
      <c r="U150" s="480"/>
      <c r="V150" s="1076"/>
      <c r="W150" s="1076"/>
      <c r="X150" s="1076"/>
      <c r="Y150" s="1076"/>
      <c r="Z150" s="1076"/>
      <c r="AA150" s="1548"/>
      <c r="AB150" s="502"/>
      <c r="AC150" s="502"/>
      <c r="AD150" s="502"/>
      <c r="AE150" s="502"/>
      <c r="AF150" s="1557">
        <v>11</v>
      </c>
    </row>
    <row r="151" spans="1:32" s="2335" customFormat="1" ht="11.45" customHeight="1">
      <c r="A151" s="910"/>
      <c r="B151" s="1552"/>
      <c r="C151" s="1552"/>
      <c r="D151" s="287"/>
      <c r="K151" s="1076"/>
      <c r="L151" s="1552"/>
      <c r="M151" s="1552"/>
      <c r="N151" s="1076"/>
      <c r="O151" s="1076"/>
      <c r="P151" s="1076"/>
      <c r="Q151" s="1076"/>
      <c r="R151" s="1552"/>
      <c r="S151" s="1076"/>
      <c r="T151" s="1076"/>
      <c r="U151" s="480"/>
      <c r="V151" s="1076"/>
      <c r="W151" s="1076"/>
      <c r="X151" s="1076"/>
      <c r="Y151" s="1076"/>
      <c r="Z151" s="1076"/>
      <c r="AA151" s="1548"/>
      <c r="AB151" s="502"/>
      <c r="AC151" s="502"/>
      <c r="AD151" s="502"/>
      <c r="AE151" s="502"/>
      <c r="AF151" s="1557">
        <v>11</v>
      </c>
    </row>
    <row r="152" spans="1:32" s="2335" customFormat="1" ht="11.45" customHeight="1">
      <c r="A152" s="910"/>
      <c r="B152" s="1552"/>
      <c r="C152" s="1552"/>
      <c r="D152" s="287"/>
      <c r="K152" s="1076"/>
      <c r="L152" s="1552"/>
      <c r="M152" s="1552"/>
      <c r="N152" s="1076"/>
      <c r="O152" s="1076"/>
      <c r="P152" s="1076"/>
      <c r="Q152" s="1076"/>
      <c r="R152" s="1552"/>
      <c r="S152" s="1076"/>
      <c r="T152" s="1076"/>
      <c r="U152" s="480"/>
      <c r="V152" s="1076"/>
      <c r="W152" s="1076"/>
      <c r="X152" s="1076"/>
      <c r="Y152" s="1076"/>
      <c r="Z152" s="1076"/>
      <c r="AA152" s="1548"/>
      <c r="AB152" s="502"/>
      <c r="AC152" s="502"/>
      <c r="AD152" s="502"/>
      <c r="AE152" s="502"/>
      <c r="AF152" s="1557">
        <v>11</v>
      </c>
    </row>
    <row r="153" spans="1:32" s="2335" customFormat="1" ht="11.45" customHeight="1">
      <c r="A153" s="910"/>
      <c r="B153" s="1552"/>
      <c r="C153" s="1552"/>
      <c r="D153" s="287"/>
      <c r="K153" s="1076"/>
      <c r="L153" s="1552"/>
      <c r="M153" s="1552"/>
      <c r="N153" s="1076"/>
      <c r="O153" s="1076"/>
      <c r="P153" s="1076"/>
      <c r="Q153" s="1076"/>
      <c r="R153" s="1552"/>
      <c r="S153" s="1076"/>
      <c r="T153" s="1076"/>
      <c r="U153" s="480"/>
      <c r="V153" s="1076"/>
      <c r="W153" s="1076"/>
      <c r="X153" s="1076"/>
      <c r="Y153" s="1076"/>
      <c r="Z153" s="1076"/>
      <c r="AA153" s="1548"/>
      <c r="AB153" s="502"/>
      <c r="AC153" s="502"/>
      <c r="AD153" s="502"/>
      <c r="AE153" s="502"/>
      <c r="AF153" s="1557">
        <v>11</v>
      </c>
    </row>
    <row r="154" spans="1:32" s="2335" customFormat="1" ht="11.45" customHeight="1">
      <c r="A154" s="910"/>
      <c r="B154" s="1552"/>
      <c r="C154" s="1552"/>
      <c r="D154" s="287"/>
      <c r="K154" s="1076"/>
      <c r="L154" s="1552"/>
      <c r="M154" s="1552"/>
      <c r="N154" s="1076"/>
      <c r="O154" s="1076"/>
      <c r="P154" s="1076"/>
      <c r="Q154" s="1076"/>
      <c r="R154" s="1552"/>
      <c r="S154" s="1076"/>
      <c r="T154" s="1076"/>
      <c r="U154" s="480"/>
      <c r="V154" s="1076"/>
      <c r="W154" s="1076"/>
      <c r="X154" s="1076"/>
      <c r="Y154" s="1076"/>
      <c r="Z154" s="1076"/>
      <c r="AA154" s="1548"/>
      <c r="AB154" s="502"/>
      <c r="AC154" s="502"/>
      <c r="AD154" s="502"/>
      <c r="AE154" s="502"/>
      <c r="AF154" s="1557">
        <v>11</v>
      </c>
    </row>
    <row r="155" spans="1:32" s="2335" customFormat="1" ht="11.45" customHeight="1">
      <c r="A155" s="910"/>
      <c r="B155" s="1552"/>
      <c r="C155" s="1552"/>
      <c r="D155" s="287"/>
      <c r="K155" s="1076"/>
      <c r="L155" s="1552"/>
      <c r="M155" s="1552"/>
      <c r="N155" s="1076"/>
      <c r="O155" s="1076"/>
      <c r="P155" s="1076"/>
      <c r="Q155" s="1076"/>
      <c r="R155" s="1552"/>
      <c r="S155" s="1076"/>
      <c r="T155" s="1076"/>
      <c r="U155" s="480"/>
      <c r="V155" s="1076"/>
      <c r="W155" s="1076"/>
      <c r="X155" s="1076"/>
      <c r="Y155" s="1076"/>
      <c r="Z155" s="1076"/>
      <c r="AA155" s="1548"/>
      <c r="AB155" s="502"/>
      <c r="AC155" s="502"/>
      <c r="AD155" s="502"/>
      <c r="AE155" s="502"/>
      <c r="AF155" s="1557">
        <v>11</v>
      </c>
    </row>
    <row r="156" spans="1:32" s="2335" customFormat="1" ht="11.45" customHeight="1">
      <c r="A156" s="910"/>
      <c r="B156" s="1552"/>
      <c r="C156" s="1552"/>
      <c r="D156" s="287"/>
      <c r="K156" s="1076"/>
      <c r="L156" s="1552"/>
      <c r="M156" s="1552"/>
      <c r="N156" s="1076"/>
      <c r="O156" s="1076"/>
      <c r="P156" s="1076"/>
      <c r="Q156" s="1076"/>
      <c r="R156" s="1552"/>
      <c r="S156" s="1076"/>
      <c r="T156" s="1076"/>
      <c r="U156" s="480"/>
      <c r="V156" s="1076"/>
      <c r="W156" s="1076"/>
      <c r="X156" s="1076"/>
      <c r="Y156" s="1076"/>
      <c r="Z156" s="1076"/>
      <c r="AA156" s="1548"/>
      <c r="AB156" s="502"/>
      <c r="AC156" s="502"/>
      <c r="AD156" s="502"/>
      <c r="AE156" s="502"/>
      <c r="AF156" s="1557">
        <v>11</v>
      </c>
    </row>
    <row r="157" spans="1:32" s="2335" customFormat="1" ht="11.45" customHeight="1">
      <c r="A157" s="910"/>
      <c r="B157" s="1552"/>
      <c r="C157" s="1552"/>
      <c r="D157" s="287"/>
      <c r="K157" s="1076"/>
      <c r="L157" s="1552"/>
      <c r="M157" s="1552"/>
      <c r="N157" s="1076"/>
      <c r="O157" s="1076"/>
      <c r="P157" s="1076"/>
      <c r="Q157" s="1076"/>
      <c r="R157" s="1552"/>
      <c r="S157" s="1076"/>
      <c r="T157" s="1076"/>
      <c r="U157" s="480"/>
      <c r="V157" s="1076"/>
      <c r="W157" s="1076"/>
      <c r="X157" s="1076"/>
      <c r="Y157" s="1076"/>
      <c r="Z157" s="1076"/>
      <c r="AA157" s="1548"/>
      <c r="AB157" s="502"/>
      <c r="AC157" s="502"/>
      <c r="AD157" s="502"/>
      <c r="AE157" s="502"/>
      <c r="AF157" s="1557">
        <v>11</v>
      </c>
    </row>
    <row r="158" spans="1:32" s="2335" customFormat="1" ht="11.45" customHeight="1">
      <c r="A158" s="910"/>
      <c r="B158" s="1552"/>
      <c r="C158" s="1552"/>
      <c r="D158" s="287"/>
      <c r="K158" s="1076"/>
      <c r="L158" s="1552"/>
      <c r="M158" s="1552"/>
      <c r="N158" s="1076"/>
      <c r="O158" s="1076"/>
      <c r="P158" s="1076"/>
      <c r="Q158" s="1076"/>
      <c r="R158" s="1552"/>
      <c r="S158" s="1076"/>
      <c r="T158" s="1076"/>
      <c r="U158" s="480"/>
      <c r="V158" s="1076"/>
      <c r="W158" s="1076"/>
      <c r="X158" s="1076"/>
      <c r="Y158" s="1076"/>
      <c r="Z158" s="1076"/>
      <c r="AA158" s="1548"/>
      <c r="AB158" s="502"/>
      <c r="AC158" s="502"/>
      <c r="AD158" s="502"/>
      <c r="AE158" s="502"/>
      <c r="AF158" s="1557">
        <v>11</v>
      </c>
    </row>
    <row r="159" spans="1:32" s="2335" customFormat="1" ht="11.45" customHeight="1">
      <c r="A159" s="910"/>
      <c r="B159" s="1552"/>
      <c r="C159" s="1552"/>
      <c r="D159" s="287"/>
      <c r="K159" s="1076"/>
      <c r="L159" s="1552"/>
      <c r="M159" s="1552"/>
      <c r="N159" s="1076"/>
      <c r="O159" s="1076"/>
      <c r="P159" s="1076"/>
      <c r="Q159" s="1076"/>
      <c r="R159" s="1552"/>
      <c r="S159" s="1076"/>
      <c r="T159" s="1076"/>
      <c r="U159" s="480"/>
      <c r="V159" s="1076"/>
      <c r="W159" s="1076"/>
      <c r="X159" s="1076"/>
      <c r="Y159" s="1076"/>
      <c r="Z159" s="1076"/>
      <c r="AA159" s="1548"/>
      <c r="AB159" s="502"/>
      <c r="AC159" s="502"/>
      <c r="AD159" s="502"/>
      <c r="AE159" s="502"/>
      <c r="AF159" s="1557">
        <v>11</v>
      </c>
    </row>
    <row r="160" spans="1:32" s="2335" customFormat="1" ht="11.45" customHeight="1">
      <c r="A160" s="910"/>
      <c r="B160" s="1552"/>
      <c r="C160" s="1552"/>
      <c r="D160" s="287"/>
      <c r="K160" s="1076"/>
      <c r="L160" s="1552"/>
      <c r="M160" s="1552"/>
      <c r="N160" s="1076"/>
      <c r="O160" s="1076"/>
      <c r="P160" s="1076"/>
      <c r="Q160" s="1076"/>
      <c r="R160" s="1552"/>
      <c r="S160" s="1076"/>
      <c r="T160" s="1076"/>
      <c r="U160" s="480"/>
      <c r="V160" s="1076"/>
      <c r="W160" s="1076"/>
      <c r="X160" s="1076"/>
      <c r="Y160" s="1076"/>
      <c r="Z160" s="1076"/>
      <c r="AA160" s="1548"/>
      <c r="AB160" s="502"/>
      <c r="AC160" s="502"/>
      <c r="AD160" s="502"/>
      <c r="AE160" s="502"/>
      <c r="AF160" s="1557">
        <v>11</v>
      </c>
    </row>
    <row r="161" spans="1:32" s="2335" customFormat="1" ht="11.45" customHeight="1">
      <c r="A161" s="910"/>
      <c r="B161" s="1552"/>
      <c r="C161" s="1552"/>
      <c r="D161" s="287"/>
      <c r="K161" s="1076"/>
      <c r="L161" s="1552"/>
      <c r="M161" s="1552"/>
      <c r="N161" s="1076"/>
      <c r="O161" s="1076"/>
      <c r="P161" s="1076"/>
      <c r="Q161" s="1076"/>
      <c r="R161" s="1552"/>
      <c r="S161" s="1076"/>
      <c r="T161" s="1076"/>
      <c r="U161" s="480"/>
      <c r="V161" s="1076"/>
      <c r="W161" s="1076"/>
      <c r="X161" s="1076"/>
      <c r="Y161" s="1076"/>
      <c r="Z161" s="1076"/>
      <c r="AA161" s="1548"/>
      <c r="AB161" s="502"/>
      <c r="AC161" s="502"/>
      <c r="AD161" s="502"/>
      <c r="AE161" s="502"/>
      <c r="AF161" s="1557">
        <v>11</v>
      </c>
    </row>
    <row r="162" spans="1:32" s="2335" customFormat="1" ht="11.45" customHeight="1">
      <c r="A162" s="910"/>
      <c r="B162" s="1552"/>
      <c r="C162" s="1552"/>
      <c r="D162" s="287"/>
      <c r="K162" s="1076"/>
      <c r="L162" s="1552"/>
      <c r="M162" s="1552"/>
      <c r="N162" s="1076"/>
      <c r="O162" s="1076"/>
      <c r="P162" s="1076"/>
      <c r="Q162" s="1076"/>
      <c r="R162" s="1552"/>
      <c r="S162" s="1076"/>
      <c r="T162" s="1076"/>
      <c r="U162" s="480"/>
      <c r="V162" s="1076"/>
      <c r="W162" s="1076"/>
      <c r="X162" s="1076"/>
      <c r="Y162" s="1076"/>
      <c r="Z162" s="1076"/>
      <c r="AA162" s="1548"/>
      <c r="AB162" s="502"/>
      <c r="AC162" s="502"/>
      <c r="AD162" s="502"/>
      <c r="AE162" s="502"/>
      <c r="AF162" s="1557">
        <v>11</v>
      </c>
    </row>
    <row r="163" spans="1:32" s="2335" customFormat="1" ht="11.45" customHeight="1">
      <c r="A163" s="910"/>
      <c r="B163" s="1552"/>
      <c r="C163" s="1552"/>
      <c r="D163" s="287"/>
      <c r="K163" s="1076"/>
      <c r="L163" s="1552"/>
      <c r="M163" s="1552"/>
      <c r="N163" s="1076"/>
      <c r="O163" s="1076"/>
      <c r="P163" s="1076"/>
      <c r="Q163" s="1076"/>
      <c r="R163" s="1552"/>
      <c r="S163" s="1076"/>
      <c r="T163" s="1076"/>
      <c r="U163" s="480"/>
      <c r="V163" s="1076"/>
      <c r="W163" s="1076"/>
      <c r="X163" s="1076"/>
      <c r="Y163" s="1076"/>
      <c r="Z163" s="1076"/>
      <c r="AA163" s="1548"/>
      <c r="AB163" s="502"/>
      <c r="AC163" s="502"/>
      <c r="AD163" s="502"/>
      <c r="AE163" s="502"/>
      <c r="AF163" s="1557">
        <v>11</v>
      </c>
    </row>
    <row r="164" spans="1:32" s="2335" customFormat="1" ht="11.45" customHeight="1">
      <c r="A164" s="910"/>
      <c r="B164" s="1552"/>
      <c r="C164" s="1552"/>
      <c r="D164" s="287"/>
      <c r="K164" s="1076"/>
      <c r="L164" s="1552"/>
      <c r="M164" s="1552"/>
      <c r="N164" s="1076"/>
      <c r="O164" s="1076"/>
      <c r="P164" s="1076"/>
      <c r="Q164" s="1076"/>
      <c r="R164" s="1552"/>
      <c r="S164" s="1076"/>
      <c r="T164" s="1076"/>
      <c r="U164" s="480"/>
      <c r="V164" s="1076"/>
      <c r="W164" s="1076"/>
      <c r="X164" s="1076"/>
      <c r="Y164" s="1076"/>
      <c r="Z164" s="1076"/>
      <c r="AA164" s="1548"/>
      <c r="AB164" s="502"/>
      <c r="AC164" s="502"/>
      <c r="AD164" s="502"/>
      <c r="AE164" s="502"/>
      <c r="AF164" s="1557">
        <v>11</v>
      </c>
    </row>
    <row r="165" spans="1:32" s="2335" customFormat="1" ht="11.45" customHeight="1">
      <c r="A165" s="910"/>
      <c r="B165" s="1552"/>
      <c r="C165" s="1552"/>
      <c r="D165" s="287"/>
      <c r="K165" s="1076"/>
      <c r="L165" s="1552"/>
      <c r="M165" s="1552"/>
      <c r="N165" s="1076"/>
      <c r="O165" s="1076"/>
      <c r="P165" s="1076"/>
      <c r="Q165" s="1076"/>
      <c r="R165" s="1552"/>
      <c r="S165" s="1076"/>
      <c r="T165" s="1076"/>
      <c r="U165" s="480"/>
      <c r="V165" s="1076"/>
      <c r="W165" s="1076"/>
      <c r="X165" s="1076"/>
      <c r="Y165" s="1076"/>
      <c r="Z165" s="1076"/>
      <c r="AA165" s="1548"/>
      <c r="AB165" s="502"/>
      <c r="AC165" s="502"/>
      <c r="AD165" s="502"/>
      <c r="AE165" s="502"/>
      <c r="AF165" s="1557">
        <v>11</v>
      </c>
    </row>
    <row r="166" spans="1:32" s="2335" customFormat="1" ht="11.45" customHeight="1">
      <c r="A166" s="910"/>
      <c r="B166" s="1552"/>
      <c r="C166" s="1552"/>
      <c r="D166" s="287"/>
      <c r="K166" s="1076"/>
      <c r="L166" s="1552"/>
      <c r="M166" s="1552"/>
      <c r="N166" s="1076"/>
      <c r="O166" s="1076"/>
      <c r="P166" s="1076"/>
      <c r="Q166" s="1076"/>
      <c r="R166" s="1552"/>
      <c r="S166" s="1076"/>
      <c r="T166" s="1076"/>
      <c r="U166" s="480"/>
      <c r="V166" s="1076"/>
      <c r="W166" s="1076"/>
      <c r="X166" s="1076"/>
      <c r="Y166" s="1076"/>
      <c r="Z166" s="1076"/>
      <c r="AA166" s="1548"/>
      <c r="AB166" s="502"/>
      <c r="AC166" s="502"/>
      <c r="AD166" s="502"/>
      <c r="AE166" s="502"/>
      <c r="AF166" s="1557">
        <v>11</v>
      </c>
    </row>
    <row r="167" spans="1:32" s="2335" customFormat="1" ht="11.45" customHeight="1">
      <c r="A167" s="910"/>
      <c r="B167" s="1552"/>
      <c r="C167" s="1552"/>
      <c r="D167" s="287"/>
      <c r="K167" s="1076"/>
      <c r="L167" s="1552"/>
      <c r="M167" s="1552"/>
      <c r="N167" s="1076"/>
      <c r="O167" s="1076"/>
      <c r="P167" s="1076"/>
      <c r="Q167" s="1076"/>
      <c r="R167" s="1552"/>
      <c r="S167" s="1076"/>
      <c r="T167" s="1076"/>
      <c r="U167" s="480"/>
      <c r="V167" s="1076"/>
      <c r="W167" s="1076"/>
      <c r="X167" s="1076"/>
      <c r="Y167" s="1076"/>
      <c r="Z167" s="1076"/>
      <c r="AA167" s="1548"/>
      <c r="AB167" s="502"/>
      <c r="AC167" s="502"/>
      <c r="AD167" s="502"/>
      <c r="AE167" s="502"/>
      <c r="AF167" s="1557">
        <v>11</v>
      </c>
    </row>
    <row r="168" spans="1:32" s="2335" customFormat="1" ht="11.45" customHeight="1">
      <c r="A168" s="910"/>
      <c r="B168" s="1552"/>
      <c r="C168" s="1552"/>
      <c r="D168" s="287"/>
      <c r="K168" s="1076"/>
      <c r="L168" s="1552"/>
      <c r="M168" s="1552"/>
      <c r="N168" s="1076"/>
      <c r="O168" s="1076"/>
      <c r="P168" s="1076"/>
      <c r="Q168" s="1076"/>
      <c r="R168" s="1552"/>
      <c r="S168" s="1076"/>
      <c r="T168" s="1076"/>
      <c r="U168" s="480"/>
      <c r="V168" s="1076"/>
      <c r="W168" s="1076"/>
      <c r="X168" s="1076"/>
      <c r="Y168" s="1076"/>
      <c r="Z168" s="1076"/>
      <c r="AA168" s="1548"/>
      <c r="AB168" s="502"/>
      <c r="AC168" s="502"/>
      <c r="AD168" s="502"/>
      <c r="AE168" s="502"/>
      <c r="AF168" s="1557">
        <v>11</v>
      </c>
    </row>
    <row r="169" spans="1:32" s="2335" customFormat="1" ht="11.45" customHeight="1">
      <c r="A169" s="910"/>
      <c r="B169" s="1552"/>
      <c r="C169" s="1552"/>
      <c r="D169" s="287"/>
      <c r="K169" s="1076"/>
      <c r="L169" s="1552"/>
      <c r="M169" s="1552"/>
      <c r="N169" s="1076"/>
      <c r="O169" s="1076"/>
      <c r="P169" s="1076"/>
      <c r="Q169" s="1076"/>
      <c r="R169" s="1552"/>
      <c r="S169" s="1076"/>
      <c r="T169" s="1076"/>
      <c r="U169" s="480"/>
      <c r="V169" s="1076"/>
      <c r="W169" s="1076"/>
      <c r="X169" s="1076"/>
      <c r="Y169" s="1076"/>
      <c r="Z169" s="1076"/>
      <c r="AA169" s="1548"/>
      <c r="AB169" s="502"/>
      <c r="AC169" s="502"/>
      <c r="AD169" s="502"/>
      <c r="AE169" s="502"/>
      <c r="AF169" s="1557">
        <v>11</v>
      </c>
    </row>
    <row r="170" spans="1:32" s="2335" customFormat="1" ht="11.45" customHeight="1">
      <c r="A170" s="910"/>
      <c r="B170" s="1552"/>
      <c r="C170" s="1552"/>
      <c r="D170" s="287"/>
      <c r="K170" s="1076"/>
      <c r="L170" s="1552"/>
      <c r="M170" s="1552"/>
      <c r="N170" s="1076"/>
      <c r="O170" s="1076"/>
      <c r="P170" s="1076"/>
      <c r="Q170" s="1076"/>
      <c r="R170" s="1552"/>
      <c r="S170" s="1076"/>
      <c r="T170" s="1076"/>
      <c r="U170" s="480"/>
      <c r="V170" s="1076"/>
      <c r="W170" s="1076"/>
      <c r="X170" s="1076"/>
      <c r="Y170" s="1076"/>
      <c r="Z170" s="1076"/>
      <c r="AA170" s="1548"/>
      <c r="AB170" s="502"/>
      <c r="AC170" s="502"/>
      <c r="AD170" s="502"/>
      <c r="AE170" s="502"/>
      <c r="AF170" s="1557">
        <v>11</v>
      </c>
    </row>
    <row r="171" spans="1:32" s="2335" customFormat="1" ht="11.45" customHeight="1">
      <c r="A171" s="910"/>
      <c r="B171" s="1552"/>
      <c r="C171" s="1552"/>
      <c r="D171" s="287"/>
      <c r="K171" s="1076"/>
      <c r="L171" s="1552"/>
      <c r="M171" s="1552"/>
      <c r="N171" s="1076"/>
      <c r="O171" s="1076"/>
      <c r="P171" s="1076"/>
      <c r="Q171" s="1076"/>
      <c r="R171" s="1552"/>
      <c r="S171" s="1076"/>
      <c r="T171" s="1076"/>
      <c r="U171" s="480"/>
      <c r="V171" s="1076"/>
      <c r="W171" s="1076"/>
      <c r="X171" s="1076"/>
      <c r="Y171" s="1076"/>
      <c r="Z171" s="1076"/>
      <c r="AA171" s="1548"/>
      <c r="AB171" s="502"/>
      <c r="AC171" s="502"/>
      <c r="AD171" s="502"/>
      <c r="AE171" s="502"/>
      <c r="AF171" s="1557">
        <v>11</v>
      </c>
    </row>
    <row r="172" spans="1:32" s="2335" customFormat="1" ht="11.45" customHeight="1">
      <c r="A172" s="910"/>
      <c r="B172" s="1552"/>
      <c r="C172" s="1552"/>
      <c r="D172" s="287"/>
      <c r="K172" s="1076"/>
      <c r="L172" s="1552"/>
      <c r="M172" s="1552"/>
      <c r="N172" s="1076"/>
      <c r="O172" s="1076"/>
      <c r="P172" s="1076"/>
      <c r="Q172" s="1076"/>
      <c r="R172" s="1552"/>
      <c r="S172" s="1076"/>
      <c r="T172" s="1076"/>
      <c r="U172" s="480"/>
      <c r="V172" s="1076"/>
      <c r="W172" s="1076"/>
      <c r="X172" s="1076"/>
      <c r="Y172" s="1076"/>
      <c r="Z172" s="1076"/>
      <c r="AA172" s="1548"/>
      <c r="AB172" s="502"/>
      <c r="AC172" s="502"/>
      <c r="AD172" s="502"/>
      <c r="AE172" s="502"/>
      <c r="AF172" s="1557">
        <v>11</v>
      </c>
    </row>
    <row r="173" spans="1:32" s="2335" customFormat="1" ht="11.45" customHeight="1">
      <c r="A173" s="910"/>
      <c r="B173" s="1552"/>
      <c r="C173" s="1552"/>
      <c r="D173" s="287"/>
      <c r="K173" s="1076"/>
      <c r="L173" s="1552"/>
      <c r="M173" s="1552"/>
      <c r="N173" s="1076"/>
      <c r="O173" s="1076"/>
      <c r="P173" s="1076"/>
      <c r="Q173" s="1076"/>
      <c r="R173" s="1552"/>
      <c r="S173" s="1076"/>
      <c r="T173" s="1076"/>
      <c r="U173" s="480"/>
      <c r="V173" s="1076"/>
      <c r="W173" s="1076"/>
      <c r="X173" s="1076"/>
      <c r="Y173" s="1076"/>
      <c r="Z173" s="1076"/>
      <c r="AA173" s="1548"/>
      <c r="AB173" s="502"/>
      <c r="AC173" s="502"/>
      <c r="AD173" s="502"/>
      <c r="AE173" s="502"/>
      <c r="AF173" s="1557">
        <v>11</v>
      </c>
    </row>
    <row r="174" spans="1:32" s="2335" customFormat="1" ht="11.45" customHeight="1">
      <c r="A174" s="910"/>
      <c r="B174" s="1552"/>
      <c r="C174" s="1552"/>
      <c r="D174" s="287"/>
      <c r="K174" s="1076"/>
      <c r="L174" s="1552"/>
      <c r="M174" s="1552"/>
      <c r="N174" s="1076"/>
      <c r="O174" s="1076"/>
      <c r="P174" s="1076"/>
      <c r="Q174" s="1076"/>
      <c r="R174" s="1552"/>
      <c r="S174" s="1076"/>
      <c r="T174" s="1076"/>
      <c r="U174" s="480"/>
      <c r="V174" s="1076"/>
      <c r="W174" s="1076"/>
      <c r="X174" s="1076"/>
      <c r="Y174" s="1076"/>
      <c r="Z174" s="1076"/>
      <c r="AA174" s="1548"/>
      <c r="AB174" s="502"/>
      <c r="AC174" s="502"/>
      <c r="AD174" s="502"/>
      <c r="AE174" s="502"/>
      <c r="AF174" s="1557">
        <v>11</v>
      </c>
    </row>
    <row r="175" spans="1:32" s="2335" customFormat="1" ht="11.45" customHeight="1">
      <c r="A175" s="910"/>
      <c r="B175" s="1552"/>
      <c r="C175" s="1552"/>
      <c r="D175" s="287"/>
      <c r="K175" s="1076"/>
      <c r="L175" s="1552"/>
      <c r="M175" s="1552"/>
      <c r="N175" s="1076"/>
      <c r="O175" s="1076"/>
      <c r="P175" s="1076"/>
      <c r="Q175" s="1076"/>
      <c r="R175" s="1552"/>
      <c r="S175" s="1076"/>
      <c r="T175" s="1076"/>
      <c r="U175" s="480"/>
      <c r="V175" s="1076"/>
      <c r="W175" s="1076"/>
      <c r="X175" s="1076"/>
      <c r="Y175" s="1076"/>
      <c r="Z175" s="1076"/>
      <c r="AA175" s="1548"/>
      <c r="AB175" s="502"/>
      <c r="AC175" s="502"/>
      <c r="AD175" s="502"/>
      <c r="AE175" s="502"/>
      <c r="AF175" s="1557">
        <v>11</v>
      </c>
    </row>
    <row r="176" spans="1:32" s="2335" customFormat="1" ht="11.45" customHeight="1">
      <c r="A176" s="910"/>
      <c r="B176" s="1552"/>
      <c r="C176" s="1552"/>
      <c r="D176" s="287"/>
      <c r="K176" s="1076"/>
      <c r="L176" s="1552"/>
      <c r="M176" s="1552"/>
      <c r="N176" s="1076"/>
      <c r="O176" s="1076"/>
      <c r="P176" s="1076"/>
      <c r="Q176" s="1076"/>
      <c r="R176" s="1552"/>
      <c r="S176" s="1076"/>
      <c r="T176" s="1076"/>
      <c r="U176" s="480"/>
      <c r="V176" s="1076"/>
      <c r="W176" s="1076"/>
      <c r="X176" s="1076"/>
      <c r="Y176" s="1076"/>
      <c r="Z176" s="1076"/>
      <c r="AA176" s="1548"/>
      <c r="AB176" s="502"/>
      <c r="AC176" s="502"/>
      <c r="AD176" s="502"/>
      <c r="AE176" s="502"/>
      <c r="AF176" s="1557">
        <v>11</v>
      </c>
    </row>
    <row r="177" spans="1:32" s="2335" customFormat="1" ht="11.45" customHeight="1">
      <c r="A177" s="910"/>
      <c r="B177" s="1552"/>
      <c r="C177" s="1552"/>
      <c r="D177" s="287"/>
      <c r="K177" s="1076"/>
      <c r="L177" s="1552"/>
      <c r="M177" s="1552"/>
      <c r="N177" s="1076"/>
      <c r="O177" s="1076"/>
      <c r="P177" s="1076"/>
      <c r="Q177" s="1076"/>
      <c r="R177" s="1552"/>
      <c r="S177" s="1076"/>
      <c r="T177" s="1076"/>
      <c r="U177" s="480"/>
      <c r="V177" s="1076"/>
      <c r="W177" s="1076"/>
      <c r="X177" s="1076"/>
      <c r="Y177" s="1076"/>
      <c r="Z177" s="1076"/>
      <c r="AA177" s="1548"/>
      <c r="AB177" s="502"/>
      <c r="AC177" s="502"/>
      <c r="AD177" s="502"/>
      <c r="AE177" s="502"/>
      <c r="AF177" s="1557">
        <v>11</v>
      </c>
    </row>
    <row r="178" spans="1:32" s="2335" customFormat="1" ht="11.45" customHeight="1">
      <c r="A178" s="910"/>
      <c r="B178" s="1552"/>
      <c r="C178" s="1552"/>
      <c r="D178" s="287"/>
      <c r="K178" s="1076"/>
      <c r="L178" s="1552"/>
      <c r="M178" s="1552"/>
      <c r="N178" s="1076"/>
      <c r="O178" s="1076"/>
      <c r="P178" s="1076"/>
      <c r="Q178" s="1076"/>
      <c r="R178" s="1552"/>
      <c r="S178" s="1076"/>
      <c r="T178" s="1076"/>
      <c r="U178" s="480"/>
      <c r="V178" s="1076"/>
      <c r="W178" s="1076"/>
      <c r="X178" s="1076"/>
      <c r="Y178" s="1076"/>
      <c r="Z178" s="1076"/>
      <c r="AA178" s="1548"/>
      <c r="AB178" s="502"/>
      <c r="AC178" s="502"/>
      <c r="AD178" s="502"/>
      <c r="AE178" s="502"/>
      <c r="AF178" s="1557">
        <v>11</v>
      </c>
    </row>
    <row r="179" spans="1:32" s="2335" customFormat="1" ht="11.45" customHeight="1">
      <c r="A179" s="910"/>
      <c r="B179" s="1552"/>
      <c r="C179" s="1552"/>
      <c r="D179" s="287"/>
      <c r="K179" s="1076"/>
      <c r="L179" s="1552"/>
      <c r="M179" s="1552"/>
      <c r="N179" s="1076"/>
      <c r="O179" s="1076"/>
      <c r="P179" s="1076"/>
      <c r="Q179" s="1076"/>
      <c r="R179" s="1552"/>
      <c r="S179" s="1076"/>
      <c r="T179" s="1076"/>
      <c r="U179" s="480"/>
      <c r="V179" s="1076"/>
      <c r="W179" s="1076"/>
      <c r="X179" s="1076"/>
      <c r="Y179" s="1076"/>
      <c r="Z179" s="1076"/>
      <c r="AA179" s="1548"/>
      <c r="AB179" s="502"/>
      <c r="AC179" s="502"/>
      <c r="AD179" s="502"/>
      <c r="AE179" s="502"/>
      <c r="AF179" s="1557">
        <v>11</v>
      </c>
    </row>
    <row r="180" spans="1:32" s="2335" customFormat="1" ht="11.45" customHeight="1">
      <c r="A180" s="910"/>
      <c r="B180" s="1552"/>
      <c r="C180" s="1552"/>
      <c r="D180" s="287"/>
      <c r="K180" s="1076"/>
      <c r="L180" s="1552"/>
      <c r="M180" s="1552"/>
      <c r="N180" s="1076"/>
      <c r="O180" s="1076"/>
      <c r="P180" s="1076"/>
      <c r="Q180" s="1076"/>
      <c r="R180" s="1552"/>
      <c r="S180" s="1076"/>
      <c r="T180" s="1076"/>
      <c r="U180" s="480"/>
      <c r="V180" s="1076"/>
      <c r="W180" s="1076"/>
      <c r="X180" s="1076"/>
      <c r="Y180" s="1076"/>
      <c r="Z180" s="1076"/>
      <c r="AA180" s="1548"/>
      <c r="AB180" s="502"/>
      <c r="AC180" s="502"/>
      <c r="AD180" s="502"/>
      <c r="AE180" s="502"/>
      <c r="AF180" s="1557">
        <v>11</v>
      </c>
    </row>
    <row r="181" spans="1:32" s="2335" customFormat="1" ht="11.45" customHeight="1">
      <c r="A181" s="910"/>
      <c r="B181" s="1552"/>
      <c r="C181" s="1552"/>
      <c r="D181" s="287"/>
      <c r="K181" s="1076"/>
      <c r="L181" s="1552"/>
      <c r="M181" s="1552"/>
      <c r="N181" s="1076"/>
      <c r="O181" s="1076"/>
      <c r="P181" s="1076"/>
      <c r="Q181" s="1076"/>
      <c r="R181" s="1552"/>
      <c r="S181" s="1076"/>
      <c r="T181" s="1076"/>
      <c r="U181" s="480"/>
      <c r="V181" s="1076"/>
      <c r="W181" s="1076"/>
      <c r="X181" s="1076"/>
      <c r="Y181" s="1076"/>
      <c r="Z181" s="1076"/>
      <c r="AA181" s="1548"/>
      <c r="AB181" s="502"/>
      <c r="AC181" s="502"/>
      <c r="AD181" s="502"/>
      <c r="AE181" s="502"/>
      <c r="AF181" s="1557">
        <v>11</v>
      </c>
    </row>
    <row r="182" spans="1:32" s="2335" customFormat="1" ht="11.45" customHeight="1">
      <c r="A182" s="910"/>
      <c r="B182" s="1552"/>
      <c r="C182" s="1552"/>
      <c r="D182" s="287"/>
      <c r="K182" s="1076"/>
      <c r="L182" s="1552"/>
      <c r="M182" s="1552"/>
      <c r="N182" s="1076"/>
      <c r="O182" s="1076"/>
      <c r="P182" s="1076"/>
      <c r="Q182" s="1076"/>
      <c r="R182" s="1552"/>
      <c r="S182" s="1076"/>
      <c r="T182" s="1076"/>
      <c r="U182" s="480"/>
      <c r="V182" s="1076"/>
      <c r="W182" s="1076"/>
      <c r="X182" s="1076"/>
      <c r="Y182" s="1076"/>
      <c r="Z182" s="1076"/>
      <c r="AA182" s="1548"/>
      <c r="AB182" s="502"/>
      <c r="AC182" s="502"/>
      <c r="AD182" s="502"/>
      <c r="AE182" s="502"/>
      <c r="AF182" s="1557">
        <v>11</v>
      </c>
    </row>
    <row r="183" spans="1:32" s="2335" customFormat="1" ht="11.45" customHeight="1">
      <c r="A183" s="910"/>
      <c r="B183" s="1552"/>
      <c r="C183" s="1552"/>
      <c r="D183" s="287"/>
      <c r="K183" s="1076"/>
      <c r="L183" s="1552"/>
      <c r="M183" s="1552"/>
      <c r="N183" s="1076"/>
      <c r="O183" s="1076"/>
      <c r="P183" s="1076"/>
      <c r="Q183" s="1076"/>
      <c r="R183" s="1552"/>
      <c r="S183" s="1076"/>
      <c r="T183" s="1076"/>
      <c r="U183" s="480"/>
      <c r="V183" s="1076"/>
      <c r="W183" s="1076"/>
      <c r="X183" s="1076"/>
      <c r="Y183" s="1076"/>
      <c r="Z183" s="1076"/>
      <c r="AA183" s="1548"/>
      <c r="AB183" s="502"/>
      <c r="AC183" s="502"/>
      <c r="AD183" s="502"/>
      <c r="AE183" s="502"/>
      <c r="AF183" s="1557">
        <v>11</v>
      </c>
    </row>
    <row r="184" spans="1:32" s="2335" customFormat="1" ht="11.45" customHeight="1">
      <c r="A184" s="910"/>
      <c r="B184" s="1552"/>
      <c r="C184" s="1552"/>
      <c r="D184" s="287"/>
      <c r="K184" s="1076"/>
      <c r="L184" s="1552"/>
      <c r="M184" s="1552"/>
      <c r="N184" s="1076"/>
      <c r="O184" s="1076"/>
      <c r="P184" s="1076"/>
      <c r="Q184" s="1076"/>
      <c r="R184" s="1552"/>
      <c r="S184" s="1076"/>
      <c r="T184" s="1076"/>
      <c r="U184" s="480"/>
      <c r="V184" s="1076"/>
      <c r="W184" s="1076"/>
      <c r="X184" s="1076"/>
      <c r="Y184" s="1076"/>
      <c r="Z184" s="1076"/>
      <c r="AA184" s="1548"/>
      <c r="AB184" s="502"/>
      <c r="AC184" s="502"/>
      <c r="AD184" s="502"/>
      <c r="AE184" s="502"/>
      <c r="AF184" s="1557">
        <v>11</v>
      </c>
    </row>
    <row r="185" spans="1:32" s="2335" customFormat="1" ht="11.45" customHeight="1">
      <c r="A185" s="910"/>
      <c r="B185" s="1552"/>
      <c r="C185" s="1552"/>
      <c r="D185" s="287"/>
      <c r="K185" s="1076"/>
      <c r="L185" s="1552"/>
      <c r="M185" s="1552"/>
      <c r="N185" s="1076"/>
      <c r="O185" s="1076"/>
      <c r="P185" s="1076"/>
      <c r="Q185" s="1076"/>
      <c r="R185" s="1552"/>
      <c r="S185" s="1076"/>
      <c r="T185" s="1076"/>
      <c r="U185" s="480"/>
      <c r="V185" s="1076"/>
      <c r="W185" s="1076"/>
      <c r="X185" s="1076"/>
      <c r="Y185" s="1076"/>
      <c r="Z185" s="1076"/>
      <c r="AA185" s="1548"/>
      <c r="AB185" s="502"/>
      <c r="AC185" s="502"/>
      <c r="AD185" s="502"/>
      <c r="AE185" s="502"/>
      <c r="AF185" s="1557">
        <v>11</v>
      </c>
    </row>
    <row r="186" spans="1:32" s="2335" customFormat="1" ht="11.45" customHeight="1">
      <c r="A186" s="910"/>
      <c r="B186" s="1552"/>
      <c r="C186" s="1552"/>
      <c r="D186" s="287"/>
      <c r="K186" s="1076"/>
      <c r="L186" s="1552"/>
      <c r="M186" s="1552"/>
      <c r="N186" s="1076"/>
      <c r="O186" s="1076"/>
      <c r="P186" s="1076"/>
      <c r="Q186" s="1076"/>
      <c r="R186" s="1552"/>
      <c r="S186" s="1076"/>
      <c r="T186" s="1076"/>
      <c r="U186" s="480"/>
      <c r="V186" s="1076"/>
      <c r="W186" s="1076"/>
      <c r="X186" s="1076"/>
      <c r="Y186" s="1076"/>
      <c r="Z186" s="1076"/>
      <c r="AA186" s="1548"/>
      <c r="AB186" s="502"/>
      <c r="AC186" s="502"/>
      <c r="AD186" s="502"/>
      <c r="AE186" s="502"/>
      <c r="AF186" s="1557">
        <v>11</v>
      </c>
    </row>
    <row r="187" spans="1:32" s="2335" customFormat="1" ht="11.45" customHeight="1">
      <c r="A187" s="910"/>
      <c r="B187" s="1552"/>
      <c r="C187" s="1552"/>
      <c r="D187" s="287"/>
      <c r="K187" s="1076"/>
      <c r="L187" s="1552"/>
      <c r="M187" s="1552"/>
      <c r="N187" s="1076"/>
      <c r="O187" s="1076"/>
      <c r="P187" s="1076"/>
      <c r="Q187" s="1076"/>
      <c r="R187" s="1552"/>
      <c r="S187" s="1076"/>
      <c r="T187" s="1076"/>
      <c r="U187" s="480"/>
      <c r="V187" s="1076"/>
      <c r="W187" s="1076"/>
      <c r="X187" s="1076"/>
      <c r="Y187" s="1076"/>
      <c r="Z187" s="1076"/>
      <c r="AA187" s="1548"/>
      <c r="AB187" s="502"/>
      <c r="AC187" s="502"/>
      <c r="AD187" s="502"/>
      <c r="AE187" s="502"/>
      <c r="AF187" s="1557">
        <v>11</v>
      </c>
    </row>
    <row r="188" spans="1:32" s="2335" customFormat="1" ht="11.45" customHeight="1">
      <c r="A188" s="910"/>
      <c r="B188" s="1552"/>
      <c r="C188" s="1552"/>
      <c r="D188" s="287"/>
      <c r="K188" s="1076"/>
      <c r="L188" s="1552"/>
      <c r="M188" s="1552"/>
      <c r="N188" s="1076"/>
      <c r="O188" s="1076"/>
      <c r="P188" s="1076"/>
      <c r="Q188" s="1076"/>
      <c r="R188" s="1552"/>
      <c r="S188" s="1076"/>
      <c r="T188" s="1076"/>
      <c r="U188" s="480"/>
      <c r="V188" s="1076"/>
      <c r="W188" s="1076"/>
      <c r="X188" s="1076"/>
      <c r="Y188" s="1076"/>
      <c r="Z188" s="1076"/>
      <c r="AA188" s="1548"/>
      <c r="AB188" s="502"/>
      <c r="AC188" s="502"/>
      <c r="AD188" s="502"/>
      <c r="AE188" s="502"/>
      <c r="AF188" s="1557">
        <v>11</v>
      </c>
    </row>
    <row r="189" spans="1:32" s="2335" customFormat="1" ht="11.45" customHeight="1">
      <c r="A189" s="910"/>
      <c r="B189" s="1552"/>
      <c r="C189" s="1552"/>
      <c r="D189" s="287"/>
      <c r="K189" s="1076"/>
      <c r="L189" s="1552"/>
      <c r="M189" s="1552"/>
      <c r="N189" s="1076"/>
      <c r="O189" s="1076"/>
      <c r="P189" s="1076"/>
      <c r="Q189" s="1076"/>
      <c r="R189" s="1552"/>
      <c r="S189" s="1076"/>
      <c r="T189" s="1076"/>
      <c r="U189" s="480"/>
      <c r="V189" s="1076"/>
      <c r="W189" s="1076"/>
      <c r="X189" s="1076"/>
      <c r="Y189" s="1076"/>
      <c r="Z189" s="1076"/>
      <c r="AA189" s="1548"/>
      <c r="AB189" s="502"/>
      <c r="AC189" s="502"/>
      <c r="AD189" s="502"/>
      <c r="AE189" s="502"/>
      <c r="AF189" s="1557">
        <v>11</v>
      </c>
    </row>
    <row r="190" spans="1:32" s="2335" customFormat="1" ht="11.45" customHeight="1">
      <c r="A190" s="910"/>
      <c r="B190" s="1552"/>
      <c r="C190" s="1552"/>
      <c r="D190" s="287"/>
      <c r="K190" s="1076"/>
      <c r="L190" s="1552"/>
      <c r="M190" s="1552"/>
      <c r="N190" s="1076"/>
      <c r="O190" s="1076"/>
      <c r="P190" s="1076"/>
      <c r="Q190" s="1076"/>
      <c r="R190" s="1552"/>
      <c r="S190" s="1076"/>
      <c r="T190" s="1076"/>
      <c r="U190" s="480"/>
      <c r="V190" s="1076"/>
      <c r="W190" s="1076"/>
      <c r="X190" s="1076"/>
      <c r="Y190" s="1076"/>
      <c r="Z190" s="1076"/>
      <c r="AA190" s="1548"/>
      <c r="AB190" s="502"/>
      <c r="AC190" s="502"/>
      <c r="AD190" s="502"/>
      <c r="AE190" s="502"/>
      <c r="AF190" s="1557">
        <v>11</v>
      </c>
    </row>
    <row r="191" spans="1:32" s="2335" customFormat="1" ht="11.45" customHeight="1">
      <c r="A191" s="910"/>
      <c r="B191" s="1552"/>
      <c r="C191" s="1552"/>
      <c r="D191" s="287"/>
      <c r="K191" s="1076"/>
      <c r="L191" s="1552"/>
      <c r="M191" s="1552"/>
      <c r="N191" s="1076"/>
      <c r="O191" s="1076"/>
      <c r="P191" s="1076"/>
      <c r="Q191" s="1076"/>
      <c r="R191" s="1552"/>
      <c r="S191" s="1076"/>
      <c r="T191" s="1076"/>
      <c r="U191" s="480"/>
      <c r="V191" s="1076"/>
      <c r="W191" s="1076"/>
      <c r="X191" s="1076"/>
      <c r="Y191" s="1076"/>
      <c r="Z191" s="1076"/>
      <c r="AA191" s="1548"/>
      <c r="AB191" s="502"/>
      <c r="AC191" s="502"/>
      <c r="AD191" s="502"/>
      <c r="AE191" s="502"/>
      <c r="AF191" s="1557">
        <v>11</v>
      </c>
    </row>
    <row r="192" spans="1:32" s="2335" customFormat="1" ht="11.45" customHeight="1">
      <c r="A192" s="910"/>
      <c r="B192" s="1552"/>
      <c r="C192" s="1552"/>
      <c r="D192" s="287"/>
      <c r="K192" s="1076"/>
      <c r="L192" s="1552"/>
      <c r="M192" s="1552"/>
      <c r="N192" s="1076"/>
      <c r="O192" s="1076"/>
      <c r="P192" s="1076"/>
      <c r="Q192" s="1076"/>
      <c r="R192" s="1552"/>
      <c r="S192" s="1076"/>
      <c r="T192" s="1076"/>
      <c r="U192" s="480"/>
      <c r="V192" s="1076"/>
      <c r="W192" s="1076"/>
      <c r="X192" s="1076"/>
      <c r="Y192" s="1076"/>
      <c r="Z192" s="1076"/>
      <c r="AA192" s="1548"/>
      <c r="AB192" s="502"/>
      <c r="AC192" s="502"/>
      <c r="AD192" s="502"/>
      <c r="AE192" s="502"/>
      <c r="AF192" s="1557">
        <v>11</v>
      </c>
    </row>
    <row r="193" spans="1:32" s="2335" customFormat="1" ht="11.45" customHeight="1">
      <c r="A193" s="910"/>
      <c r="B193" s="1552"/>
      <c r="C193" s="1552"/>
      <c r="D193" s="287"/>
      <c r="K193" s="1076"/>
      <c r="L193" s="1552"/>
      <c r="M193" s="1552"/>
      <c r="N193" s="1076"/>
      <c r="O193" s="1076"/>
      <c r="P193" s="1076"/>
      <c r="Q193" s="1076"/>
      <c r="R193" s="1552"/>
      <c r="S193" s="1076"/>
      <c r="T193" s="1076"/>
      <c r="U193" s="480"/>
      <c r="V193" s="1076"/>
      <c r="W193" s="1076"/>
      <c r="X193" s="1076"/>
      <c r="Y193" s="1076"/>
      <c r="Z193" s="1076"/>
      <c r="AA193" s="1548"/>
      <c r="AB193" s="502"/>
      <c r="AC193" s="502"/>
      <c r="AD193" s="502"/>
      <c r="AE193" s="502"/>
      <c r="AF193" s="1557">
        <v>11</v>
      </c>
    </row>
    <row r="194" spans="1:32" s="2335" customFormat="1" ht="11.45" customHeight="1">
      <c r="A194" s="910"/>
      <c r="B194" s="1552"/>
      <c r="C194" s="1552"/>
      <c r="D194" s="287"/>
      <c r="K194" s="1076"/>
      <c r="L194" s="1552"/>
      <c r="M194" s="1552"/>
      <c r="N194" s="1076"/>
      <c r="O194" s="1076"/>
      <c r="P194" s="1076"/>
      <c r="Q194" s="1076"/>
      <c r="R194" s="1552"/>
      <c r="S194" s="1076"/>
      <c r="T194" s="1076"/>
      <c r="U194" s="480"/>
      <c r="V194" s="1076"/>
      <c r="W194" s="1076"/>
      <c r="X194" s="1076"/>
      <c r="Y194" s="1076"/>
      <c r="Z194" s="1076"/>
      <c r="AA194" s="1548"/>
      <c r="AB194" s="502"/>
      <c r="AC194" s="502"/>
      <c r="AD194" s="502"/>
      <c r="AE194" s="502"/>
      <c r="AF194" s="1557">
        <v>11</v>
      </c>
    </row>
    <row r="195" spans="1:32" s="2335" customFormat="1" ht="11.45" customHeight="1">
      <c r="A195" s="910"/>
      <c r="B195" s="1552"/>
      <c r="C195" s="1552"/>
      <c r="D195" s="287"/>
      <c r="K195" s="1076"/>
      <c r="L195" s="1552"/>
      <c r="M195" s="1552"/>
      <c r="N195" s="1076"/>
      <c r="O195" s="1076"/>
      <c r="P195" s="1076"/>
      <c r="Q195" s="1076"/>
      <c r="R195" s="1552"/>
      <c r="S195" s="1076"/>
      <c r="T195" s="1076"/>
      <c r="U195" s="480"/>
      <c r="V195" s="1076"/>
      <c r="W195" s="1076"/>
      <c r="X195" s="1076"/>
      <c r="Y195" s="1076"/>
      <c r="Z195" s="1076"/>
      <c r="AA195" s="1548"/>
      <c r="AB195" s="502"/>
      <c r="AC195" s="502"/>
      <c r="AD195" s="502"/>
      <c r="AE195" s="502"/>
      <c r="AF195" s="1557">
        <v>11</v>
      </c>
    </row>
    <row r="196" spans="1:32" s="2335" customFormat="1" ht="11.45" customHeight="1">
      <c r="A196" s="910"/>
      <c r="B196" s="1552"/>
      <c r="C196" s="1552"/>
      <c r="D196" s="287"/>
      <c r="K196" s="1076"/>
      <c r="L196" s="1552"/>
      <c r="M196" s="1552"/>
      <c r="N196" s="1076"/>
      <c r="O196" s="1076"/>
      <c r="P196" s="1076"/>
      <c r="Q196" s="1076"/>
      <c r="R196" s="1552"/>
      <c r="S196" s="1076"/>
      <c r="T196" s="1076"/>
      <c r="U196" s="480"/>
      <c r="V196" s="1076"/>
      <c r="W196" s="1076"/>
      <c r="X196" s="1076"/>
      <c r="Y196" s="1076"/>
      <c r="Z196" s="1076"/>
      <c r="AA196" s="1548"/>
      <c r="AB196" s="502"/>
      <c r="AC196" s="502"/>
      <c r="AD196" s="502"/>
      <c r="AE196" s="502"/>
      <c r="AF196" s="1557">
        <v>11</v>
      </c>
    </row>
    <row r="197" spans="1:32" s="2335" customFormat="1" ht="11.45" customHeight="1">
      <c r="A197" s="910"/>
      <c r="B197" s="1552"/>
      <c r="C197" s="1552"/>
      <c r="D197" s="287"/>
      <c r="K197" s="1076"/>
      <c r="L197" s="1552"/>
      <c r="M197" s="1552"/>
      <c r="N197" s="1076"/>
      <c r="O197" s="1076"/>
      <c r="P197" s="1076"/>
      <c r="Q197" s="1076"/>
      <c r="R197" s="1552"/>
      <c r="S197" s="1076"/>
      <c r="T197" s="1076"/>
      <c r="U197" s="480"/>
      <c r="V197" s="1076"/>
      <c r="W197" s="1076"/>
      <c r="X197" s="1076"/>
      <c r="Y197" s="1076"/>
      <c r="Z197" s="1076"/>
      <c r="AA197" s="1548"/>
      <c r="AB197" s="502"/>
      <c r="AC197" s="502"/>
      <c r="AD197" s="502"/>
      <c r="AE197" s="502"/>
      <c r="AF197" s="1557">
        <v>11</v>
      </c>
    </row>
    <row r="198" spans="1:32" s="2335" customFormat="1" ht="11.45" customHeight="1">
      <c r="A198" s="910"/>
      <c r="B198" s="1552"/>
      <c r="C198" s="1552"/>
      <c r="D198" s="287"/>
      <c r="K198" s="1076"/>
      <c r="L198" s="1552"/>
      <c r="M198" s="1552"/>
      <c r="N198" s="1076"/>
      <c r="O198" s="1076"/>
      <c r="P198" s="1076"/>
      <c r="Q198" s="1076"/>
      <c r="R198" s="1552"/>
      <c r="S198" s="1076"/>
      <c r="T198" s="1076"/>
      <c r="U198" s="480"/>
      <c r="V198" s="1076"/>
      <c r="W198" s="1076"/>
      <c r="X198" s="1076"/>
      <c r="Y198" s="1076"/>
      <c r="Z198" s="1076"/>
      <c r="AA198" s="1548"/>
      <c r="AB198" s="502"/>
      <c r="AC198" s="502"/>
      <c r="AD198" s="502"/>
      <c r="AE198" s="502"/>
      <c r="AF198" s="1557">
        <v>11</v>
      </c>
    </row>
    <row r="199" spans="1:32" s="2335" customFormat="1" ht="11.45" customHeight="1">
      <c r="A199" s="910"/>
      <c r="B199" s="1552"/>
      <c r="C199" s="1552"/>
      <c r="D199" s="287"/>
      <c r="K199" s="1076"/>
      <c r="L199" s="1552"/>
      <c r="M199" s="1552"/>
      <c r="N199" s="1076"/>
      <c r="O199" s="1076"/>
      <c r="P199" s="1076"/>
      <c r="Q199" s="1076"/>
      <c r="R199" s="1552"/>
      <c r="S199" s="1076"/>
      <c r="T199" s="1076"/>
      <c r="U199" s="480"/>
      <c r="V199" s="1076"/>
      <c r="W199" s="1076"/>
      <c r="X199" s="1076"/>
      <c r="Y199" s="1076"/>
      <c r="Z199" s="1076"/>
      <c r="AA199" s="1548"/>
      <c r="AB199" s="502"/>
      <c r="AC199" s="502"/>
      <c r="AD199" s="502"/>
      <c r="AE199" s="502"/>
      <c r="AF199" s="1557">
        <v>11</v>
      </c>
    </row>
    <row r="200" spans="1:32" s="2335" customFormat="1" ht="11.45" customHeight="1">
      <c r="A200" s="910"/>
      <c r="B200" s="1552"/>
      <c r="C200" s="1552"/>
      <c r="D200" s="287"/>
      <c r="K200" s="1076"/>
      <c r="L200" s="1552"/>
      <c r="M200" s="1552"/>
      <c r="N200" s="1076"/>
      <c r="O200" s="1076"/>
      <c r="P200" s="1076"/>
      <c r="Q200" s="1076"/>
      <c r="R200" s="1552"/>
      <c r="S200" s="1076"/>
      <c r="T200" s="1076"/>
      <c r="U200" s="480"/>
      <c r="V200" s="1076"/>
      <c r="W200" s="1076"/>
      <c r="X200" s="1076"/>
      <c r="Y200" s="1076"/>
      <c r="Z200" s="1076"/>
      <c r="AA200" s="1548"/>
      <c r="AB200" s="502"/>
      <c r="AC200" s="502"/>
      <c r="AD200" s="502"/>
      <c r="AE200" s="502"/>
      <c r="AF200" s="1557">
        <v>11</v>
      </c>
    </row>
    <row r="201" spans="1:32" ht="11.45" customHeight="1">
      <c r="AF201" s="1547">
        <v>11</v>
      </c>
    </row>
    <row r="202" spans="1:32" ht="11.45" customHeight="1">
      <c r="AF202" s="1547">
        <v>11</v>
      </c>
    </row>
    <row r="203" spans="1:32" ht="11.45" customHeight="1">
      <c r="AF203" s="1547">
        <v>11</v>
      </c>
    </row>
    <row r="204" spans="1:32" ht="11.45" customHeight="1">
      <c r="A204" s="913"/>
      <c r="B204" s="1547"/>
      <c r="D204" s="1547"/>
      <c r="K204" s="1547"/>
      <c r="N204" s="1547"/>
      <c r="O204" s="1547"/>
      <c r="P204" s="1547"/>
      <c r="Q204" s="1547"/>
      <c r="S204" s="1547"/>
      <c r="T204" s="1547"/>
      <c r="U204" s="1547"/>
      <c r="V204" s="1547"/>
      <c r="W204" s="1547"/>
      <c r="X204" s="1547"/>
      <c r="Y204" s="1547"/>
      <c r="Z204" s="1547"/>
      <c r="AA204" s="1547"/>
      <c r="AB204" s="1547"/>
      <c r="AC204" s="1547"/>
      <c r="AD204" s="1547"/>
      <c r="AE204" s="1547"/>
      <c r="AF204" s="1547">
        <v>11</v>
      </c>
    </row>
    <row r="205" spans="1:32" ht="11.45" customHeight="1">
      <c r="A205" s="913"/>
      <c r="B205" s="1547"/>
      <c r="D205" s="1547"/>
      <c r="K205" s="1547"/>
      <c r="N205" s="1547"/>
      <c r="O205" s="1547"/>
      <c r="P205" s="1547"/>
      <c r="Q205" s="1547"/>
      <c r="S205" s="1547"/>
      <c r="T205" s="1547"/>
      <c r="U205" s="1547"/>
      <c r="V205" s="1547"/>
      <c r="W205" s="1547"/>
      <c r="X205" s="1547"/>
      <c r="Y205" s="1547"/>
      <c r="Z205" s="1547"/>
      <c r="AA205" s="1547"/>
      <c r="AB205" s="1547"/>
      <c r="AC205" s="1547"/>
      <c r="AD205" s="1547"/>
      <c r="AE205" s="1547"/>
      <c r="AF205" s="1547">
        <v>11</v>
      </c>
    </row>
    <row r="206" spans="1:32" ht="11.45" customHeight="1">
      <c r="A206" s="913"/>
      <c r="B206" s="1547"/>
      <c r="D206" s="1547"/>
      <c r="K206" s="1547"/>
      <c r="N206" s="1547"/>
      <c r="O206" s="1547"/>
      <c r="P206" s="1547"/>
      <c r="Q206" s="1547"/>
      <c r="S206" s="1547"/>
      <c r="T206" s="1547"/>
      <c r="U206" s="1547"/>
      <c r="V206" s="1547"/>
      <c r="W206" s="1547"/>
      <c r="X206" s="1547"/>
      <c r="Y206" s="1547"/>
      <c r="Z206" s="1547"/>
      <c r="AA206" s="1547"/>
      <c r="AB206" s="1547"/>
      <c r="AC206" s="1547"/>
      <c r="AD206" s="1547"/>
      <c r="AE206" s="1547"/>
      <c r="AF206" s="1547">
        <v>11</v>
      </c>
    </row>
    <row r="207" spans="1:32" ht="11.45" customHeight="1">
      <c r="A207" s="913"/>
      <c r="B207" s="1547"/>
      <c r="D207" s="1547"/>
      <c r="K207" s="1547"/>
      <c r="N207" s="1547"/>
      <c r="O207" s="1547"/>
      <c r="P207" s="1547"/>
      <c r="Q207" s="1547"/>
      <c r="S207" s="1547"/>
      <c r="T207" s="1547"/>
      <c r="U207" s="1547"/>
      <c r="V207" s="1547"/>
      <c r="W207" s="1547"/>
      <c r="X207" s="1547"/>
      <c r="Y207" s="1547"/>
      <c r="Z207" s="1547"/>
      <c r="AA207" s="1547"/>
      <c r="AB207" s="1547"/>
      <c r="AC207" s="1547"/>
      <c r="AD207" s="1547"/>
      <c r="AE207" s="1547"/>
      <c r="AF207" s="1547">
        <v>11</v>
      </c>
    </row>
    <row r="208" spans="1:32" ht="11.45" customHeight="1">
      <c r="A208" s="913"/>
      <c r="B208" s="1547"/>
      <c r="D208" s="1547"/>
      <c r="K208" s="1547"/>
      <c r="N208" s="1547"/>
      <c r="O208" s="1547"/>
      <c r="P208" s="1547"/>
      <c r="Q208" s="1547"/>
      <c r="S208" s="1547"/>
      <c r="T208" s="1547"/>
      <c r="U208" s="1547"/>
      <c r="V208" s="1547"/>
      <c r="W208" s="1547"/>
      <c r="X208" s="1547"/>
      <c r="Y208" s="1547"/>
      <c r="Z208" s="1547"/>
      <c r="AA208" s="1547"/>
      <c r="AB208" s="1547"/>
      <c r="AC208" s="1547"/>
      <c r="AD208" s="1547"/>
      <c r="AE208" s="1547"/>
      <c r="AF208" s="1547">
        <v>11</v>
      </c>
    </row>
    <row r="209" spans="1:32" ht="11.45" customHeight="1">
      <c r="A209" s="913"/>
      <c r="B209" s="1547"/>
      <c r="D209" s="1547"/>
      <c r="K209" s="1547"/>
      <c r="N209" s="1547"/>
      <c r="O209" s="1547"/>
      <c r="P209" s="1547"/>
      <c r="Q209" s="1547"/>
      <c r="S209" s="1547"/>
      <c r="T209" s="1547"/>
      <c r="U209" s="1547"/>
      <c r="V209" s="1547"/>
      <c r="W209" s="1547"/>
      <c r="X209" s="1547"/>
      <c r="Y209" s="1547"/>
      <c r="Z209" s="1547"/>
      <c r="AA209" s="1547"/>
      <c r="AB209" s="1547"/>
      <c r="AC209" s="1547"/>
      <c r="AD209" s="1547"/>
      <c r="AE209" s="1547"/>
      <c r="AF209" s="1547">
        <v>11</v>
      </c>
    </row>
    <row r="210" spans="1:32" ht="11.45" customHeight="1">
      <c r="A210" s="913"/>
      <c r="B210" s="1547"/>
      <c r="D210" s="1547"/>
      <c r="K210" s="1547"/>
      <c r="N210" s="1547"/>
      <c r="O210" s="1547"/>
      <c r="P210" s="1547"/>
      <c r="Q210" s="1547"/>
      <c r="S210" s="1547"/>
      <c r="T210" s="1547"/>
      <c r="U210" s="1547"/>
      <c r="V210" s="1547"/>
      <c r="W210" s="1547"/>
      <c r="X210" s="1547"/>
      <c r="Y210" s="1547"/>
      <c r="Z210" s="1547"/>
      <c r="AA210" s="1547"/>
      <c r="AB210" s="1547"/>
      <c r="AC210" s="1547"/>
      <c r="AD210" s="1547"/>
      <c r="AE210" s="1547"/>
      <c r="AF210" s="1547">
        <v>11</v>
      </c>
    </row>
    <row r="211" spans="1:32" ht="11.45" customHeight="1">
      <c r="A211" s="913"/>
      <c r="B211" s="1547"/>
      <c r="D211" s="1547"/>
      <c r="K211" s="1547"/>
      <c r="N211" s="1547"/>
      <c r="O211" s="1547"/>
      <c r="P211" s="1547"/>
      <c r="Q211" s="1547"/>
      <c r="S211" s="1547"/>
      <c r="T211" s="1547"/>
      <c r="U211" s="1547"/>
      <c r="V211" s="1547"/>
      <c r="W211" s="1547"/>
      <c r="X211" s="1547"/>
      <c r="Y211" s="1547"/>
      <c r="Z211" s="1547"/>
      <c r="AA211" s="1547"/>
      <c r="AB211" s="1547"/>
      <c r="AC211" s="1547"/>
      <c r="AD211" s="1547"/>
      <c r="AE211" s="1547"/>
      <c r="AF211" s="1547">
        <v>11</v>
      </c>
    </row>
    <row r="212" spans="1:32" ht="11.45" customHeight="1">
      <c r="A212" s="913"/>
      <c r="B212" s="1547"/>
      <c r="D212" s="1547"/>
      <c r="K212" s="1547"/>
      <c r="N212" s="1547"/>
      <c r="O212" s="1547"/>
      <c r="P212" s="1547"/>
      <c r="Q212" s="1547"/>
      <c r="S212" s="1547"/>
      <c r="T212" s="1547"/>
      <c r="U212" s="1547"/>
      <c r="V212" s="1547"/>
      <c r="W212" s="1547"/>
      <c r="X212" s="1547"/>
      <c r="Y212" s="1547"/>
      <c r="Z212" s="1547"/>
      <c r="AA212" s="1547"/>
      <c r="AB212" s="1547"/>
      <c r="AC212" s="1547"/>
      <c r="AD212" s="1547"/>
      <c r="AE212" s="1547"/>
      <c r="AF212" s="1547">
        <v>11</v>
      </c>
    </row>
    <row r="213" spans="1:32" ht="11.45" customHeight="1">
      <c r="A213" s="913"/>
      <c r="B213" s="1547"/>
      <c r="D213" s="1547"/>
      <c r="K213" s="1547"/>
      <c r="N213" s="1547"/>
      <c r="O213" s="1547"/>
      <c r="P213" s="1547"/>
      <c r="Q213" s="1547"/>
      <c r="S213" s="1547"/>
      <c r="T213" s="1547"/>
      <c r="U213" s="1547"/>
      <c r="V213" s="1547"/>
      <c r="W213" s="1547"/>
      <c r="X213" s="1547"/>
      <c r="Y213" s="1547"/>
      <c r="Z213" s="1547"/>
      <c r="AA213" s="1547"/>
      <c r="AB213" s="1547"/>
      <c r="AC213" s="1547"/>
      <c r="AD213" s="1547"/>
      <c r="AE213" s="1547"/>
      <c r="AF213" s="1547">
        <v>11</v>
      </c>
    </row>
    <row r="214" spans="1:32" ht="11.45" customHeight="1">
      <c r="A214" s="913"/>
      <c r="B214" s="1547"/>
      <c r="D214" s="1547"/>
      <c r="K214" s="1547"/>
      <c r="N214" s="1547"/>
      <c r="O214" s="1547"/>
      <c r="P214" s="1547"/>
      <c r="Q214" s="1547"/>
      <c r="S214" s="1547"/>
      <c r="T214" s="1547"/>
      <c r="U214" s="1547"/>
      <c r="V214" s="1547"/>
      <c r="W214" s="1547"/>
      <c r="X214" s="1547"/>
      <c r="Y214" s="1547"/>
      <c r="Z214" s="1547"/>
      <c r="AA214" s="1547"/>
      <c r="AB214" s="1547"/>
      <c r="AC214" s="1547"/>
      <c r="AD214" s="1547"/>
      <c r="AE214" s="1547"/>
      <c r="AF214" s="1547">
        <v>11</v>
      </c>
    </row>
    <row r="215" spans="1:32" ht="11.25" hidden="1" customHeight="1">
      <c r="A215" s="910" t="s">
        <v>82</v>
      </c>
      <c r="B215" s="1076">
        <v>0</v>
      </c>
      <c r="C215" s="1552">
        <v>0</v>
      </c>
      <c r="D215" s="1551">
        <v>3</v>
      </c>
      <c r="E215" s="1547">
        <v>7</v>
      </c>
      <c r="F215" s="1547">
        <v>54</v>
      </c>
      <c r="G215" s="1547">
        <v>10</v>
      </c>
      <c r="H215" s="1547">
        <v>0</v>
      </c>
      <c r="I215" s="1547">
        <v>40</v>
      </c>
      <c r="J215" s="1547">
        <v>102</v>
      </c>
      <c r="K215" s="1076">
        <v>9</v>
      </c>
      <c r="L215" s="1552">
        <v>5</v>
      </c>
      <c r="M215" s="1552">
        <v>3</v>
      </c>
      <c r="N215" s="1076">
        <v>3</v>
      </c>
      <c r="O215" s="1076">
        <v>3</v>
      </c>
      <c r="P215" s="1076">
        <v>3</v>
      </c>
      <c r="Q215" s="1076">
        <v>3</v>
      </c>
      <c r="R215" s="1552">
        <v>10</v>
      </c>
      <c r="S215" s="1076">
        <v>34</v>
      </c>
      <c r="T215" s="1076">
        <v>9</v>
      </c>
      <c r="U215" s="480">
        <v>8</v>
      </c>
      <c r="V215" s="1076">
        <v>8</v>
      </c>
      <c r="W215" s="1076">
        <v>8</v>
      </c>
      <c r="X215" s="1076">
        <v>8</v>
      </c>
      <c r="Y215" s="1076">
        <v>8</v>
      </c>
      <c r="Z215" s="1076">
        <v>8</v>
      </c>
      <c r="AA215" s="1548">
        <v>8</v>
      </c>
      <c r="AB215" s="1548">
        <v>8</v>
      </c>
      <c r="AC215" s="1548">
        <v>8</v>
      </c>
      <c r="AD215" s="1548">
        <v>8</v>
      </c>
      <c r="AE215" s="1548">
        <v>8</v>
      </c>
      <c r="AF215" s="1547">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7:I42 H30 I3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25" activePane="bottomRight" state="frozen"/>
      <selection pane="topRight" activeCell="I1" sqref="I1"/>
      <selection pane="bottomLeft" activeCell="A12" sqref="A12"/>
      <selection pane="bottomRight" activeCell="I34" sqref="I34"/>
    </sheetView>
  </sheetViews>
  <sheetFormatPr defaultColWidth="10.5703125" defaultRowHeight="11.25" customHeight="1"/>
  <cols>
    <col min="1" max="1" width="9.140625" style="2347" hidden="1" customWidth="1"/>
    <col min="2" max="2" width="3.5703125" style="2344" hidden="1" customWidth="1"/>
    <col min="3" max="3" width="3" style="2360" customWidth="1"/>
    <col min="4" max="4" width="7" style="2360" customWidth="1"/>
    <col min="5" max="5" width="69" style="2360" customWidth="1"/>
    <col min="6" max="6" width="10" style="2360" customWidth="1"/>
    <col min="7" max="8" width="44" style="2360" hidden="1" customWidth="1"/>
    <col min="9" max="9" width="44" style="2360" customWidth="1"/>
    <col min="10" max="10" width="43" style="2360" customWidth="1"/>
    <col min="11" max="11" width="73" style="2360" customWidth="1"/>
    <col min="12" max="12" width="3" style="2360" customWidth="1"/>
    <col min="13" max="23" width="10" style="2360" customWidth="1"/>
    <col min="24" max="24" width="10.5703125" style="2360" hidden="1"/>
  </cols>
  <sheetData>
    <row r="1" spans="1:24" s="2357" customFormat="1" ht="22.5" hidden="1" customHeight="1">
      <c r="A1" s="472"/>
      <c r="B1" s="447"/>
      <c r="G1" s="353">
        <v>4</v>
      </c>
      <c r="I1" s="353">
        <v>4</v>
      </c>
      <c r="K1" s="353">
        <v>5</v>
      </c>
      <c r="X1" s="353" t="s">
        <v>14</v>
      </c>
    </row>
    <row r="2" spans="1:24" ht="3" customHeight="1">
      <c r="X2" s="441">
        <v>3</v>
      </c>
    </row>
    <row r="3" spans="1:24" ht="78.75" customHeight="1">
      <c r="D3" s="24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29"/>
      <c r="F3" s="2430"/>
      <c r="X3" s="441">
        <v>75</v>
      </c>
    </row>
    <row r="4" spans="1:24" s="2360" customFormat="1" ht="21" customHeight="1">
      <c r="A4" s="876"/>
      <c r="B4" s="447"/>
      <c r="D4" s="2538" t="str">
        <f>IF(org=0,"Не определено",org)</f>
        <v>ООО "Пятигорсктеплосервис"</v>
      </c>
      <c r="E4" s="2539"/>
      <c r="F4" s="2540"/>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4"/>
      <c r="H6" s="944"/>
      <c r="I6" s="944" t="s">
        <v>117</v>
      </c>
      <c r="J6" s="944"/>
      <c r="X6" s="441">
        <v>1</v>
      </c>
    </row>
    <row r="7" spans="1:24" ht="11.45" customHeight="1">
      <c r="D7" s="647"/>
      <c r="E7" s="2658" t="s">
        <v>105</v>
      </c>
      <c r="F7" s="2659"/>
      <c r="G7" s="2668" t="str">
        <f>IF(G6="","",INDEX(DIFFERENTIATION_UNMERGE_VD,MATCH(G6,DIFFERENTIATION_ID_DIFF,0)))</f>
        <v/>
      </c>
      <c r="H7" s="2669"/>
      <c r="I7" s="2668" t="str">
        <f>IF(I6="","",INDEX(DIFFERENTIATION_UNMERGE_VD,MATCH(I6,DIFFERENTIATION_ID_DIFF,0)))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7" s="2669"/>
      <c r="K7" s="2494"/>
      <c r="L7" s="445"/>
      <c r="X7" s="441">
        <v>11</v>
      </c>
    </row>
    <row r="8" spans="1:24" ht="11.45" customHeight="1">
      <c r="A8" s="640"/>
      <c r="D8" s="647"/>
      <c r="E8" s="2658" t="s">
        <v>563</v>
      </c>
      <c r="F8" s="2659"/>
      <c r="G8" s="2668" t="str">
        <f>IF(G6="","",INDEX(DIFFERENTIATION_UNMERGE_AREA,MATCH(G6,DIFFERENTIATION_ID_DIFF,0)))</f>
        <v/>
      </c>
      <c r="H8" s="2669"/>
      <c r="I8" s="2668" t="str">
        <f>IF(I6="","",INDEX(DIFFERENTIATION_UNMERGE_AREA,MATCH(I6,DIFFERENTIATION_ID_DIFF,0)))</f>
        <v>без дифференциации</v>
      </c>
      <c r="J8" s="2669"/>
      <c r="K8" s="2499"/>
      <c r="L8" s="445"/>
      <c r="X8" s="441">
        <v>11</v>
      </c>
    </row>
    <row r="9" spans="1:24" ht="11.45" customHeight="1">
      <c r="A9" s="640"/>
      <c r="D9" s="647"/>
      <c r="E9" s="2658" t="s">
        <v>564</v>
      </c>
      <c r="F9" s="2659"/>
      <c r="G9" s="2668" t="str">
        <f>IF(G6="","",INDEX(DIFFERENTIATION_UNMERGE_SYSTEM,MATCH(G6,DIFFERENTIATION_ID_DIFF,0)))</f>
        <v/>
      </c>
      <c r="H9" s="2669"/>
      <c r="I9" s="2668" t="str">
        <f>IF(I6="","",INDEX(DIFFERENTIATION_UNMERGE_SYSTEM,MATCH(I6,DIFFERENTIATION_ID_DIFF,0)))</f>
        <v>без дифференциации</v>
      </c>
      <c r="J9" s="2669"/>
      <c r="K9" s="2499"/>
      <c r="L9" s="445"/>
      <c r="X9" s="441">
        <v>11</v>
      </c>
    </row>
    <row r="10" spans="1:24" s="2360" customFormat="1" ht="11.45" customHeight="1">
      <c r="A10" s="943"/>
      <c r="B10" s="447"/>
      <c r="D10" s="2417" t="s">
        <v>299</v>
      </c>
      <c r="E10" s="2422"/>
      <c r="F10" s="2422"/>
      <c r="G10" s="2422"/>
      <c r="H10" s="2422"/>
      <c r="I10" s="2422"/>
      <c r="J10" s="2416"/>
      <c r="K10" s="2499"/>
      <c r="L10" s="445"/>
      <c r="X10" s="692">
        <v>11</v>
      </c>
    </row>
    <row r="11" spans="1:24" s="2360" customFormat="1" ht="24" customHeight="1">
      <c r="A11" s="2562"/>
      <c r="B11" s="2562"/>
      <c r="C11" s="593"/>
      <c r="D11" s="639" t="s">
        <v>88</v>
      </c>
      <c r="E11" s="641" t="s">
        <v>912</v>
      </c>
      <c r="F11" s="641" t="s">
        <v>565</v>
      </c>
      <c r="G11" s="401" t="s">
        <v>302</v>
      </c>
      <c r="H11" s="401" t="s">
        <v>389</v>
      </c>
      <c r="I11" s="737" t="s">
        <v>302</v>
      </c>
      <c r="J11" s="738" t="s">
        <v>389</v>
      </c>
      <c r="K11" s="2549"/>
      <c r="L11" s="594"/>
      <c r="X11" s="445">
        <v>23</v>
      </c>
    </row>
    <row r="12" spans="1:24" s="2344" customFormat="1" ht="10.5" customHeight="1">
      <c r="A12" s="877"/>
      <c r="D12" s="947" t="s">
        <v>109</v>
      </c>
      <c r="E12" s="947" t="s">
        <v>110</v>
      </c>
      <c r="F12" s="947" t="s">
        <v>90</v>
      </c>
      <c r="G12" s="948" t="str">
        <f>G1&amp;".1"</f>
        <v>4.1</v>
      </c>
      <c r="H12" s="948" t="str">
        <f>G1&amp;".2"</f>
        <v>4.2</v>
      </c>
      <c r="I12" s="948" t="str">
        <f>I1&amp;".1"</f>
        <v>4.1</v>
      </c>
      <c r="J12" s="948" t="str">
        <f>I1&amp;".2"</f>
        <v>4.2</v>
      </c>
      <c r="K12" s="948"/>
      <c r="X12" s="447">
        <v>10</v>
      </c>
    </row>
    <row r="13" spans="1:24" ht="22.5" customHeight="1">
      <c r="A13" s="2670" t="s">
        <v>913</v>
      </c>
      <c r="D13" s="878" t="s">
        <v>109</v>
      </c>
      <c r="E13" s="216" t="s">
        <v>914</v>
      </c>
      <c r="F13" s="596" t="s">
        <v>915</v>
      </c>
      <c r="G13" s="493"/>
      <c r="H13" s="597"/>
      <c r="I13" s="493">
        <v>2</v>
      </c>
      <c r="J13" s="597"/>
      <c r="K13" s="226" t="s">
        <v>916</v>
      </c>
      <c r="L13" s="656"/>
      <c r="X13" s="441">
        <v>0</v>
      </c>
    </row>
    <row r="14" spans="1:24" ht="22.5" customHeight="1">
      <c r="A14" s="2670"/>
      <c r="D14" s="475" t="s">
        <v>110</v>
      </c>
      <c r="E14" s="216" t="s">
        <v>917</v>
      </c>
      <c r="F14" s="596" t="s">
        <v>918</v>
      </c>
      <c r="G14" s="493"/>
      <c r="H14" s="598"/>
      <c r="I14" s="493">
        <v>1</v>
      </c>
      <c r="J14" s="598"/>
      <c r="K14" s="226" t="s">
        <v>919</v>
      </c>
      <c r="L14" s="656"/>
      <c r="X14" s="441">
        <v>0</v>
      </c>
    </row>
    <row r="15" spans="1:24" s="2360" customFormat="1" ht="78.75" customHeight="1">
      <c r="A15" s="2670"/>
      <c r="B15" s="447"/>
      <c r="D15" s="878" t="s">
        <v>90</v>
      </c>
      <c r="E15" s="643" t="s">
        <v>920</v>
      </c>
      <c r="F15" s="875" t="s">
        <v>305</v>
      </c>
      <c r="G15" s="875" t="s">
        <v>305</v>
      </c>
      <c r="H15" s="46"/>
      <c r="I15" s="875" t="s">
        <v>305</v>
      </c>
      <c r="J15" s="46"/>
      <c r="K15" s="226" t="s">
        <v>921</v>
      </c>
      <c r="L15" s="656"/>
      <c r="X15" s="692">
        <v>0</v>
      </c>
    </row>
    <row r="16" spans="1:24" s="2360" customFormat="1" ht="22.5" customHeight="1">
      <c r="A16" s="2670"/>
      <c r="B16" s="447"/>
      <c r="D16" s="878" t="s">
        <v>323</v>
      </c>
      <c r="E16" s="879" t="s">
        <v>922</v>
      </c>
      <c r="F16" s="875" t="s">
        <v>923</v>
      </c>
      <c r="G16" s="747"/>
      <c r="H16" s="46"/>
      <c r="I16" s="747"/>
      <c r="J16" s="46"/>
      <c r="K16" s="226"/>
      <c r="L16" s="656"/>
      <c r="X16" s="692">
        <v>0</v>
      </c>
    </row>
    <row r="17" spans="1:24" s="2360" customFormat="1" ht="22.5" customHeight="1">
      <c r="A17" s="2670"/>
      <c r="B17" s="447"/>
      <c r="D17" s="878" t="s">
        <v>331</v>
      </c>
      <c r="E17" s="879" t="s">
        <v>924</v>
      </c>
      <c r="F17" s="875" t="s">
        <v>925</v>
      </c>
      <c r="G17" s="747"/>
      <c r="H17" s="46"/>
      <c r="I17" s="747"/>
      <c r="J17" s="46"/>
      <c r="K17" s="226"/>
      <c r="L17" s="656"/>
      <c r="X17" s="692">
        <v>0</v>
      </c>
    </row>
    <row r="18" spans="1:24" s="2360" customFormat="1" ht="33.75" customHeight="1">
      <c r="A18" s="2670"/>
      <c r="B18" s="447"/>
      <c r="D18" s="878" t="s">
        <v>333</v>
      </c>
      <c r="E18" s="879" t="s">
        <v>926</v>
      </c>
      <c r="F18" s="875" t="s">
        <v>574</v>
      </c>
      <c r="G18" s="616"/>
      <c r="H18" s="46"/>
      <c r="I18" s="616"/>
      <c r="J18" s="46"/>
      <c r="K18" s="226"/>
      <c r="L18" s="656"/>
      <c r="X18" s="692">
        <v>0</v>
      </c>
    </row>
    <row r="19" spans="1:24" ht="101.25" customHeight="1">
      <c r="A19" s="2670"/>
      <c r="D19" s="878" t="s">
        <v>91</v>
      </c>
      <c r="E19" s="216" t="s">
        <v>927</v>
      </c>
      <c r="F19" s="596" t="s">
        <v>545</v>
      </c>
      <c r="G19" s="599"/>
      <c r="H19" s="598"/>
      <c r="I19" s="2346" t="s">
        <v>928</v>
      </c>
      <c r="J19" s="2055" t="s">
        <v>929</v>
      </c>
      <c r="K19" s="226" t="s">
        <v>930</v>
      </c>
      <c r="L19" s="656"/>
      <c r="X19" s="441">
        <v>0</v>
      </c>
    </row>
    <row r="20" spans="1:24" s="2360" customFormat="1" ht="18.75" customHeight="1">
      <c r="A20" s="2670"/>
      <c r="C20" s="880"/>
      <c r="D20" s="878" t="s">
        <v>846</v>
      </c>
      <c r="E20" s="879" t="s">
        <v>931</v>
      </c>
      <c r="F20" s="875" t="s">
        <v>305</v>
      </c>
      <c r="G20" s="875" t="s">
        <v>305</v>
      </c>
      <c r="H20" s="874" t="s">
        <v>305</v>
      </c>
      <c r="I20" s="875" t="s">
        <v>305</v>
      </c>
      <c r="J20" s="874" t="s">
        <v>305</v>
      </c>
      <c r="K20" s="873"/>
      <c r="L20" s="656"/>
      <c r="W20" s="611"/>
      <c r="X20" s="692">
        <v>0</v>
      </c>
    </row>
    <row r="21" spans="1:24" s="2360" customFormat="1" ht="33.75" customHeight="1">
      <c r="A21" s="2670"/>
      <c r="C21" s="880"/>
      <c r="D21" s="878" t="s">
        <v>849</v>
      </c>
      <c r="E21" s="512" t="s">
        <v>932</v>
      </c>
      <c r="F21" s="875" t="s">
        <v>933</v>
      </c>
      <c r="G21" s="616"/>
      <c r="H21" s="2299"/>
      <c r="I21" s="616">
        <v>0.02</v>
      </c>
      <c r="J21" s="2299"/>
      <c r="K21" s="873"/>
      <c r="L21" s="656"/>
      <c r="W21" s="611"/>
      <c r="X21" s="692">
        <v>0</v>
      </c>
    </row>
    <row r="22" spans="1:24" s="2360" customFormat="1" ht="33.75" customHeight="1">
      <c r="A22" s="2670"/>
      <c r="C22" s="880"/>
      <c r="D22" s="878" t="s">
        <v>852</v>
      </c>
      <c r="E22" s="512" t="s">
        <v>934</v>
      </c>
      <c r="F22" s="875" t="s">
        <v>935</v>
      </c>
      <c r="G22" s="616"/>
      <c r="H22" s="2299"/>
      <c r="I22" s="616">
        <v>2.5999999999999999E-3</v>
      </c>
      <c r="J22" s="2299"/>
      <c r="K22" s="873"/>
      <c r="L22" s="656"/>
      <c r="W22" s="611"/>
      <c r="X22" s="692">
        <v>0</v>
      </c>
    </row>
    <row r="23" spans="1:24" s="2360" customFormat="1" ht="22.5" customHeight="1">
      <c r="A23" s="2670"/>
      <c r="C23" s="880"/>
      <c r="D23" s="878" t="s">
        <v>890</v>
      </c>
      <c r="E23" s="879" t="s">
        <v>936</v>
      </c>
      <c r="F23" s="875" t="s">
        <v>305</v>
      </c>
      <c r="G23" s="875" t="s">
        <v>305</v>
      </c>
      <c r="H23" s="874" t="s">
        <v>305</v>
      </c>
      <c r="I23" s="875" t="s">
        <v>305</v>
      </c>
      <c r="J23" s="874" t="s">
        <v>305</v>
      </c>
      <c r="K23" s="873"/>
      <c r="L23" s="656"/>
      <c r="W23" s="611"/>
      <c r="X23" s="692">
        <v>0</v>
      </c>
    </row>
    <row r="24" spans="1:24" s="2360" customFormat="1" ht="22.5" customHeight="1">
      <c r="A24" s="2670"/>
      <c r="C24" s="880"/>
      <c r="D24" s="878" t="s">
        <v>937</v>
      </c>
      <c r="E24" s="512" t="s">
        <v>938</v>
      </c>
      <c r="F24" s="875" t="s">
        <v>939</v>
      </c>
      <c r="G24" s="616"/>
      <c r="H24" s="2300"/>
      <c r="I24" s="616">
        <v>0.16689999999999999</v>
      </c>
      <c r="J24" s="2300"/>
      <c r="K24" s="873"/>
      <c r="L24" s="656"/>
      <c r="W24" s="611"/>
      <c r="X24" s="692">
        <v>0</v>
      </c>
    </row>
    <row r="25" spans="1:24" s="2360" customFormat="1" ht="22.5" customHeight="1">
      <c r="A25" s="2670"/>
      <c r="C25" s="880"/>
      <c r="D25" s="878" t="s">
        <v>940</v>
      </c>
      <c r="E25" s="512" t="s">
        <v>941</v>
      </c>
      <c r="F25" s="875" t="s">
        <v>305</v>
      </c>
      <c r="G25" s="875" t="s">
        <v>305</v>
      </c>
      <c r="H25" s="874" t="s">
        <v>305</v>
      </c>
      <c r="I25" s="875" t="s">
        <v>305</v>
      </c>
      <c r="J25" s="874" t="s">
        <v>305</v>
      </c>
      <c r="K25" s="873"/>
      <c r="L25" s="656"/>
      <c r="W25" s="611"/>
      <c r="X25" s="692">
        <v>0</v>
      </c>
    </row>
    <row r="26" spans="1:24" s="2360" customFormat="1" ht="18.75" customHeight="1">
      <c r="A26" s="2670"/>
      <c r="C26" s="880"/>
      <c r="D26" s="878" t="s">
        <v>942</v>
      </c>
      <c r="E26" s="489" t="s">
        <v>943</v>
      </c>
      <c r="F26" s="875" t="s">
        <v>944</v>
      </c>
      <c r="G26" s="616"/>
      <c r="H26" s="622"/>
      <c r="I26" s="616">
        <v>1.9427000000000001</v>
      </c>
      <c r="J26" s="622"/>
      <c r="K26" s="873"/>
      <c r="L26" s="656"/>
      <c r="W26" s="611"/>
      <c r="X26" s="692">
        <v>0</v>
      </c>
    </row>
    <row r="27" spans="1:24" s="2360" customFormat="1" ht="18.75" customHeight="1">
      <c r="A27" s="2670"/>
      <c r="C27" s="880"/>
      <c r="D27" s="878" t="s">
        <v>945</v>
      </c>
      <c r="E27" s="489" t="s">
        <v>946</v>
      </c>
      <c r="F27" s="875" t="s">
        <v>947</v>
      </c>
      <c r="G27" s="616"/>
      <c r="H27" s="622"/>
      <c r="I27" s="616">
        <v>3.0000000000000001E-3</v>
      </c>
      <c r="J27" s="622"/>
      <c r="K27" s="873"/>
      <c r="L27" s="656"/>
      <c r="W27" s="611"/>
      <c r="X27" s="692">
        <v>0</v>
      </c>
    </row>
    <row r="28" spans="1:24" s="2360" customFormat="1" ht="18.75" customHeight="1">
      <c r="A28" s="2670"/>
      <c r="C28" s="880"/>
      <c r="D28" s="878" t="s">
        <v>948</v>
      </c>
      <c r="E28" s="512" t="s">
        <v>949</v>
      </c>
      <c r="F28" s="875" t="s">
        <v>305</v>
      </c>
      <c r="G28" s="875" t="s">
        <v>305</v>
      </c>
      <c r="H28" s="874" t="s">
        <v>305</v>
      </c>
      <c r="I28" s="875" t="s">
        <v>305</v>
      </c>
      <c r="J28" s="874" t="s">
        <v>305</v>
      </c>
      <c r="K28" s="873"/>
      <c r="L28" s="656"/>
      <c r="W28" s="611"/>
      <c r="X28" s="692">
        <v>0</v>
      </c>
    </row>
    <row r="29" spans="1:24" s="2360" customFormat="1" ht="18.75" customHeight="1">
      <c r="A29" s="2670"/>
      <c r="C29" s="880"/>
      <c r="D29" s="878" t="s">
        <v>950</v>
      </c>
      <c r="E29" s="489" t="s">
        <v>943</v>
      </c>
      <c r="F29" s="875" t="s">
        <v>951</v>
      </c>
      <c r="G29" s="616"/>
      <c r="H29" s="622"/>
      <c r="I29" s="616">
        <v>50850</v>
      </c>
      <c r="J29" s="622"/>
      <c r="K29" s="873"/>
      <c r="L29" s="656"/>
      <c r="W29" s="611"/>
      <c r="X29" s="692">
        <v>0</v>
      </c>
    </row>
    <row r="30" spans="1:24" s="2360" customFormat="1" ht="18.75" customHeight="1">
      <c r="A30" s="2670"/>
      <c r="C30" s="880"/>
      <c r="D30" s="878" t="s">
        <v>952</v>
      </c>
      <c r="E30" s="489" t="s">
        <v>953</v>
      </c>
      <c r="F30" s="875" t="s">
        <v>954</v>
      </c>
      <c r="G30" s="616"/>
      <c r="H30" s="622"/>
      <c r="I30" s="616">
        <v>86.968000000000004</v>
      </c>
      <c r="J30" s="622"/>
      <c r="K30" s="873"/>
      <c r="L30" s="656"/>
      <c r="W30" s="611"/>
      <c r="X30" s="692">
        <v>0</v>
      </c>
    </row>
    <row r="31" spans="1:24" ht="126.75" customHeight="1">
      <c r="A31" s="2670"/>
      <c r="D31" s="878" t="s">
        <v>111</v>
      </c>
      <c r="E31" s="216" t="s">
        <v>955</v>
      </c>
      <c r="F31" s="596" t="s">
        <v>557</v>
      </c>
      <c r="G31" s="493"/>
      <c r="H31" s="598"/>
      <c r="I31" s="493">
        <v>0</v>
      </c>
      <c r="J31" s="598"/>
      <c r="K31" s="226" t="s">
        <v>956</v>
      </c>
      <c r="L31" s="656"/>
      <c r="X31" s="441">
        <v>0</v>
      </c>
    </row>
    <row r="32" spans="1:24" ht="56.25" customHeight="1">
      <c r="A32" s="2670"/>
      <c r="D32" s="878" t="s">
        <v>92</v>
      </c>
      <c r="E32" s="216" t="s">
        <v>957</v>
      </c>
      <c r="F32" s="475" t="s">
        <v>925</v>
      </c>
      <c r="G32" s="493"/>
      <c r="H32" s="598"/>
      <c r="I32" s="493">
        <v>30</v>
      </c>
      <c r="J32" s="598"/>
      <c r="K32" s="226" t="s">
        <v>958</v>
      </c>
      <c r="L32" s="656"/>
      <c r="X32" s="441">
        <v>0</v>
      </c>
    </row>
    <row r="33" spans="1:24" ht="11.25" customHeight="1">
      <c r="A33" s="2670"/>
      <c r="E33" s="600"/>
      <c r="F33" s="118"/>
      <c r="G33" s="118"/>
      <c r="H33" s="118"/>
      <c r="I33" s="118"/>
      <c r="J33" s="118"/>
      <c r="K33" s="118"/>
      <c r="X33" s="441">
        <v>0</v>
      </c>
    </row>
    <row r="34" spans="1:24" ht="12.75" customHeight="1">
      <c r="A34" s="2670"/>
      <c r="D34" s="5">
        <v>1</v>
      </c>
      <c r="E34" s="272" t="s">
        <v>959</v>
      </c>
      <c r="X34" s="441">
        <v>0</v>
      </c>
    </row>
    <row r="35" spans="1:24" ht="11.25" customHeight="1">
      <c r="A35" s="2670"/>
      <c r="D35" s="305"/>
      <c r="E35" s="272" t="s">
        <v>960</v>
      </c>
      <c r="X35" s="441">
        <v>0</v>
      </c>
    </row>
    <row r="36" spans="1:24" s="2360" customFormat="1" ht="11.45" customHeight="1">
      <c r="A36" s="955"/>
      <c r="B36" s="454"/>
      <c r="D36" s="956"/>
      <c r="E36" s="957"/>
      <c r="X36" s="445">
        <v>11</v>
      </c>
    </row>
    <row r="37" spans="1:24" s="2360" customFormat="1" ht="22.5" hidden="1" customHeight="1">
      <c r="A37" s="2670" t="s">
        <v>961</v>
      </c>
      <c r="B37" s="447"/>
      <c r="D37" s="878">
        <v>1</v>
      </c>
      <c r="E37" s="643" t="s">
        <v>962</v>
      </c>
      <c r="F37" s="596" t="s">
        <v>915</v>
      </c>
      <c r="G37" s="493"/>
      <c r="H37" s="455"/>
      <c r="I37" s="493"/>
      <c r="J37" s="455"/>
      <c r="K37" s="226" t="s">
        <v>963</v>
      </c>
      <c r="X37" s="692">
        <v>0</v>
      </c>
    </row>
    <row r="38" spans="1:24" s="2360" customFormat="1" ht="22.5" hidden="1" customHeight="1">
      <c r="A38" s="2670"/>
      <c r="B38" s="447"/>
      <c r="D38" s="605" t="s">
        <v>110</v>
      </c>
      <c r="E38" s="954" t="s">
        <v>964</v>
      </c>
      <c r="F38" s="958" t="s">
        <v>545</v>
      </c>
      <c r="G38" s="958" t="s">
        <v>545</v>
      </c>
      <c r="H38" s="952"/>
      <c r="I38" s="958" t="s">
        <v>545</v>
      </c>
      <c r="J38" s="952"/>
      <c r="K38" s="953"/>
      <c r="X38" s="692">
        <v>0</v>
      </c>
    </row>
    <row r="39" spans="1:24" s="2360" customFormat="1" ht="33.75" hidden="1" customHeight="1">
      <c r="A39" s="2670"/>
      <c r="B39" s="447"/>
      <c r="D39" s="601" t="s">
        <v>798</v>
      </c>
      <c r="E39" s="659" t="s">
        <v>965</v>
      </c>
      <c r="F39" s="596" t="s">
        <v>966</v>
      </c>
      <c r="G39" s="604"/>
      <c r="H39" s="945"/>
      <c r="I39" s="604"/>
      <c r="J39" s="945"/>
      <c r="K39" s="226" t="s">
        <v>967</v>
      </c>
      <c r="X39" s="692">
        <v>0</v>
      </c>
    </row>
    <row r="40" spans="1:24" s="2360" customFormat="1" ht="33.75" hidden="1" customHeight="1">
      <c r="A40" s="2670"/>
      <c r="B40" s="447"/>
      <c r="D40" s="601" t="s">
        <v>801</v>
      </c>
      <c r="E40" s="659" t="s">
        <v>968</v>
      </c>
      <c r="F40" s="949" t="s">
        <v>969</v>
      </c>
      <c r="G40" s="677"/>
      <c r="H40" s="945"/>
      <c r="I40" s="677"/>
      <c r="J40" s="945"/>
      <c r="K40" s="226" t="s">
        <v>970</v>
      </c>
      <c r="X40" s="692">
        <v>0</v>
      </c>
    </row>
    <row r="41" spans="1:24" s="2360" customFormat="1" ht="22.5" hidden="1" customHeight="1">
      <c r="A41" s="2670"/>
      <c r="B41" s="447"/>
      <c r="D41" s="601" t="s">
        <v>90</v>
      </c>
      <c r="E41" s="658" t="s">
        <v>971</v>
      </c>
      <c r="F41" s="596" t="s">
        <v>545</v>
      </c>
      <c r="G41" s="596" t="s">
        <v>545</v>
      </c>
      <c r="H41" s="946"/>
      <c r="I41" s="596" t="s">
        <v>545</v>
      </c>
      <c r="J41" s="946"/>
      <c r="K41" s="239"/>
      <c r="X41" s="692">
        <v>0</v>
      </c>
    </row>
    <row r="42" spans="1:24" s="2360" customFormat="1" ht="45" hidden="1" customHeight="1">
      <c r="A42" s="2670"/>
      <c r="B42" s="447"/>
      <c r="D42" s="601" t="s">
        <v>323</v>
      </c>
      <c r="E42" s="659" t="s">
        <v>972</v>
      </c>
      <c r="F42" s="596" t="s">
        <v>557</v>
      </c>
      <c r="G42" s="493"/>
      <c r="H42" s="946"/>
      <c r="I42" s="493"/>
      <c r="J42" s="946"/>
      <c r="K42" s="239" t="s">
        <v>973</v>
      </c>
      <c r="X42" s="692">
        <v>0</v>
      </c>
    </row>
    <row r="43" spans="1:24" s="2360" customFormat="1" ht="45" hidden="1" customHeight="1">
      <c r="A43" s="2670"/>
      <c r="B43" s="447"/>
      <c r="D43" s="601" t="s">
        <v>331</v>
      </c>
      <c r="E43" s="603" t="s">
        <v>974</v>
      </c>
      <c r="F43" s="950" t="s">
        <v>557</v>
      </c>
      <c r="G43" s="678"/>
      <c r="H43" s="945"/>
      <c r="I43" s="678"/>
      <c r="J43" s="945"/>
      <c r="K43" s="239" t="s">
        <v>975</v>
      </c>
      <c r="X43" s="692">
        <v>0</v>
      </c>
    </row>
    <row r="44" spans="1:24" s="2360" customFormat="1" ht="11.25" hidden="1" customHeight="1">
      <c r="A44" s="2670"/>
      <c r="B44" s="447"/>
      <c r="D44" s="601" t="s">
        <v>91</v>
      </c>
      <c r="E44" s="602" t="s">
        <v>976</v>
      </c>
      <c r="F44" s="596" t="s">
        <v>966</v>
      </c>
      <c r="G44" s="604"/>
      <c r="H44" s="945"/>
      <c r="I44" s="604"/>
      <c r="J44" s="945"/>
      <c r="K44" s="226"/>
      <c r="X44" s="692">
        <v>0</v>
      </c>
    </row>
    <row r="45" spans="1:24" s="2360" customFormat="1" ht="11.25" hidden="1" customHeight="1">
      <c r="A45" s="2670"/>
      <c r="B45" s="447"/>
      <c r="D45" s="601" t="s">
        <v>846</v>
      </c>
      <c r="E45" s="603" t="s">
        <v>977</v>
      </c>
      <c r="F45" s="596" t="s">
        <v>966</v>
      </c>
      <c r="G45" s="604"/>
      <c r="H45" s="945"/>
      <c r="I45" s="604"/>
      <c r="J45" s="945"/>
      <c r="K45" s="226"/>
      <c r="X45" s="692">
        <v>0</v>
      </c>
    </row>
    <row r="46" spans="1:24" s="2360" customFormat="1" ht="11.25" hidden="1" customHeight="1">
      <c r="A46" s="2670"/>
      <c r="B46" s="447"/>
      <c r="D46" s="601" t="s">
        <v>890</v>
      </c>
      <c r="E46" s="603" t="s">
        <v>978</v>
      </c>
      <c r="F46" s="596" t="s">
        <v>966</v>
      </c>
      <c r="G46" s="604"/>
      <c r="H46" s="945"/>
      <c r="I46" s="604"/>
      <c r="J46" s="945"/>
      <c r="K46" s="226"/>
      <c r="X46" s="692">
        <v>0</v>
      </c>
    </row>
    <row r="47" spans="1:24" s="2360" customFormat="1" ht="11.25" hidden="1" customHeight="1">
      <c r="A47" s="2670"/>
      <c r="B47" s="447"/>
      <c r="D47" s="601" t="s">
        <v>893</v>
      </c>
      <c r="E47" s="603" t="s">
        <v>979</v>
      </c>
      <c r="F47" s="596" t="s">
        <v>966</v>
      </c>
      <c r="G47" s="604"/>
      <c r="H47" s="945"/>
      <c r="I47" s="604"/>
      <c r="J47" s="945"/>
      <c r="K47" s="226"/>
      <c r="X47" s="692">
        <v>0</v>
      </c>
    </row>
    <row r="48" spans="1:24" s="2360" customFormat="1" ht="11.25" hidden="1" customHeight="1">
      <c r="A48" s="2670"/>
      <c r="B48" s="447"/>
      <c r="D48" s="601" t="s">
        <v>980</v>
      </c>
      <c r="E48" s="607" t="s">
        <v>981</v>
      </c>
      <c r="F48" s="596" t="s">
        <v>966</v>
      </c>
      <c r="G48" s="604"/>
      <c r="H48" s="945"/>
      <c r="I48" s="604"/>
      <c r="J48" s="945"/>
      <c r="K48" s="226"/>
      <c r="X48" s="692">
        <v>0</v>
      </c>
    </row>
    <row r="49" spans="1:24" s="2360" customFormat="1" ht="11.25" hidden="1" customHeight="1">
      <c r="A49" s="2670"/>
      <c r="B49" s="447"/>
      <c r="D49" s="601" t="s">
        <v>982</v>
      </c>
      <c r="E49" s="607" t="s">
        <v>983</v>
      </c>
      <c r="F49" s="596" t="s">
        <v>966</v>
      </c>
      <c r="G49" s="604"/>
      <c r="H49" s="945"/>
      <c r="I49" s="604"/>
      <c r="J49" s="945"/>
      <c r="K49" s="226"/>
      <c r="X49" s="692">
        <v>0</v>
      </c>
    </row>
    <row r="50" spans="1:24" s="2360" customFormat="1" ht="11.25" hidden="1" customHeight="1">
      <c r="A50" s="2670"/>
      <c r="B50" s="447"/>
      <c r="D50" s="601" t="s">
        <v>984</v>
      </c>
      <c r="E50" s="603" t="s">
        <v>985</v>
      </c>
      <c r="F50" s="596" t="s">
        <v>966</v>
      </c>
      <c r="G50" s="604"/>
      <c r="H50" s="945"/>
      <c r="I50" s="604"/>
      <c r="J50" s="945"/>
      <c r="K50" s="226"/>
      <c r="X50" s="692">
        <v>0</v>
      </c>
    </row>
    <row r="51" spans="1:24" s="2360" customFormat="1" ht="11.25" hidden="1" customHeight="1">
      <c r="A51" s="2670"/>
      <c r="B51" s="447"/>
      <c r="D51" s="601" t="s">
        <v>986</v>
      </c>
      <c r="E51" s="603" t="s">
        <v>987</v>
      </c>
      <c r="F51" s="596" t="s">
        <v>966</v>
      </c>
      <c r="G51" s="604"/>
      <c r="H51" s="945"/>
      <c r="I51" s="604"/>
      <c r="J51" s="945"/>
      <c r="K51" s="226"/>
      <c r="X51" s="692">
        <v>0</v>
      </c>
    </row>
    <row r="52" spans="1:24" s="2360" customFormat="1" ht="45" hidden="1" customHeight="1">
      <c r="A52" s="2670"/>
      <c r="B52" s="447"/>
      <c r="D52" s="601" t="s">
        <v>111</v>
      </c>
      <c r="E52" s="602" t="s">
        <v>988</v>
      </c>
      <c r="F52" s="596" t="s">
        <v>966</v>
      </c>
      <c r="G52" s="604"/>
      <c r="H52" s="945"/>
      <c r="I52" s="604"/>
      <c r="J52" s="945"/>
      <c r="K52" s="226"/>
      <c r="X52" s="692">
        <v>0</v>
      </c>
    </row>
    <row r="53" spans="1:24" s="2360" customFormat="1" ht="11.25" hidden="1" customHeight="1">
      <c r="A53" s="2670"/>
      <c r="B53" s="447"/>
      <c r="D53" s="601" t="s">
        <v>312</v>
      </c>
      <c r="E53" s="603" t="s">
        <v>977</v>
      </c>
      <c r="F53" s="596" t="s">
        <v>966</v>
      </c>
      <c r="G53" s="604"/>
      <c r="H53" s="945"/>
      <c r="I53" s="604"/>
      <c r="J53" s="945"/>
      <c r="K53" s="226"/>
      <c r="X53" s="692">
        <v>0</v>
      </c>
    </row>
    <row r="54" spans="1:24" s="2360" customFormat="1" ht="11.25" hidden="1" customHeight="1">
      <c r="A54" s="2670"/>
      <c r="B54" s="447"/>
      <c r="D54" s="601" t="s">
        <v>989</v>
      </c>
      <c r="E54" s="603" t="s">
        <v>978</v>
      </c>
      <c r="F54" s="596" t="s">
        <v>966</v>
      </c>
      <c r="G54" s="604"/>
      <c r="H54" s="945"/>
      <c r="I54" s="604"/>
      <c r="J54" s="945"/>
      <c r="K54" s="226"/>
      <c r="X54" s="692">
        <v>0</v>
      </c>
    </row>
    <row r="55" spans="1:24" s="2360" customFormat="1" ht="11.25" hidden="1" customHeight="1">
      <c r="A55" s="2670"/>
      <c r="B55" s="447"/>
      <c r="D55" s="601" t="s">
        <v>990</v>
      </c>
      <c r="E55" s="603" t="s">
        <v>979</v>
      </c>
      <c r="F55" s="596" t="s">
        <v>966</v>
      </c>
      <c r="G55" s="604"/>
      <c r="H55" s="945"/>
      <c r="I55" s="604"/>
      <c r="J55" s="945"/>
      <c r="K55" s="226"/>
      <c r="X55" s="692">
        <v>0</v>
      </c>
    </row>
    <row r="56" spans="1:24" s="2360" customFormat="1" ht="11.25" hidden="1" customHeight="1">
      <c r="A56" s="2670"/>
      <c r="B56" s="447"/>
      <c r="D56" s="601" t="s">
        <v>991</v>
      </c>
      <c r="E56" s="607" t="s">
        <v>981</v>
      </c>
      <c r="F56" s="596" t="s">
        <v>966</v>
      </c>
      <c r="G56" s="604"/>
      <c r="H56" s="945"/>
      <c r="I56" s="604"/>
      <c r="J56" s="945"/>
      <c r="K56" s="226"/>
      <c r="X56" s="692">
        <v>0</v>
      </c>
    </row>
    <row r="57" spans="1:24" s="2360" customFormat="1" ht="11.25" hidden="1" customHeight="1">
      <c r="A57" s="2670"/>
      <c r="B57" s="447"/>
      <c r="D57" s="601" t="s">
        <v>992</v>
      </c>
      <c r="E57" s="607" t="s">
        <v>983</v>
      </c>
      <c r="F57" s="596" t="s">
        <v>966</v>
      </c>
      <c r="G57" s="604"/>
      <c r="H57" s="945"/>
      <c r="I57" s="604"/>
      <c r="J57" s="945"/>
      <c r="K57" s="226"/>
      <c r="X57" s="692">
        <v>0</v>
      </c>
    </row>
    <row r="58" spans="1:24" s="2360" customFormat="1" ht="11.25" hidden="1" customHeight="1">
      <c r="A58" s="2670"/>
      <c r="B58" s="447"/>
      <c r="D58" s="601" t="s">
        <v>993</v>
      </c>
      <c r="E58" s="603" t="s">
        <v>985</v>
      </c>
      <c r="F58" s="596" t="s">
        <v>966</v>
      </c>
      <c r="G58" s="604"/>
      <c r="H58" s="945"/>
      <c r="I58" s="604"/>
      <c r="J58" s="945"/>
      <c r="K58" s="226"/>
      <c r="X58" s="692">
        <v>0</v>
      </c>
    </row>
    <row r="59" spans="1:24" s="2360" customFormat="1" ht="11.25" hidden="1" customHeight="1">
      <c r="A59" s="2670"/>
      <c r="B59" s="447"/>
      <c r="D59" s="601" t="s">
        <v>994</v>
      </c>
      <c r="E59" s="603" t="s">
        <v>987</v>
      </c>
      <c r="F59" s="596" t="s">
        <v>966</v>
      </c>
      <c r="G59" s="604"/>
      <c r="H59" s="945"/>
      <c r="I59" s="604"/>
      <c r="J59" s="945"/>
      <c r="K59" s="226"/>
      <c r="X59" s="692">
        <v>0</v>
      </c>
    </row>
    <row r="60" spans="1:24" s="2360" customFormat="1" ht="33.75" hidden="1" customHeight="1">
      <c r="A60" s="2670"/>
      <c r="B60" s="447"/>
      <c r="D60" s="601" t="s">
        <v>92</v>
      </c>
      <c r="E60" s="602" t="s">
        <v>995</v>
      </c>
      <c r="F60" s="657" t="s">
        <v>557</v>
      </c>
      <c r="G60" s="678"/>
      <c r="H60" s="945"/>
      <c r="I60" s="678"/>
      <c r="J60" s="945"/>
      <c r="K60" s="239" t="s">
        <v>996</v>
      </c>
      <c r="X60" s="692">
        <v>0</v>
      </c>
    </row>
    <row r="61" spans="1:24" s="2360" customFormat="1" ht="33.75" hidden="1" customHeight="1">
      <c r="A61" s="2670"/>
      <c r="B61" s="447"/>
      <c r="D61" s="601" t="s">
        <v>93</v>
      </c>
      <c r="E61" s="602" t="s">
        <v>997</v>
      </c>
      <c r="F61" s="662" t="s">
        <v>925</v>
      </c>
      <c r="G61" s="604"/>
      <c r="H61" s="945"/>
      <c r="I61" s="604"/>
      <c r="J61" s="945"/>
      <c r="K61" s="226"/>
      <c r="X61" s="692">
        <v>0</v>
      </c>
    </row>
    <row r="62" spans="1:24" s="2360" customFormat="1" ht="22.5" hidden="1" customHeight="1">
      <c r="A62" s="2670"/>
      <c r="B62" s="447" t="s">
        <v>587</v>
      </c>
      <c r="D62" s="601" t="s">
        <v>112</v>
      </c>
      <c r="E62" s="602" t="s">
        <v>998</v>
      </c>
      <c r="F62" s="662" t="s">
        <v>305</v>
      </c>
      <c r="G62" s="318"/>
      <c r="H62" s="945"/>
      <c r="I62" s="318"/>
      <c r="J62" s="945"/>
      <c r="K62" s="226" t="s">
        <v>718</v>
      </c>
      <c r="X62" s="692">
        <v>0</v>
      </c>
    </row>
    <row r="63" spans="1:24" s="2360" customFormat="1" ht="45" hidden="1" customHeight="1">
      <c r="A63" s="2670"/>
      <c r="B63" s="447" t="s">
        <v>587</v>
      </c>
      <c r="D63" s="601" t="s">
        <v>999</v>
      </c>
      <c r="E63" s="603" t="s">
        <v>1000</v>
      </c>
      <c r="F63" s="657" t="s">
        <v>305</v>
      </c>
      <c r="G63" s="318"/>
      <c r="H63" s="945"/>
      <c r="I63" s="318"/>
      <c r="J63" s="945"/>
      <c r="K63" s="226" t="s">
        <v>718</v>
      </c>
      <c r="X63" s="692">
        <v>0</v>
      </c>
    </row>
    <row r="64" spans="1:24" s="2360" customFormat="1" ht="11.45" customHeight="1">
      <c r="A64" s="955"/>
      <c r="B64" s="454"/>
      <c r="D64" s="956"/>
      <c r="E64" s="957"/>
      <c r="X64" s="445">
        <v>11</v>
      </c>
    </row>
    <row r="65" spans="1:24" s="2360" customFormat="1" ht="22.5" hidden="1" customHeight="1">
      <c r="A65" s="2670" t="s">
        <v>1001</v>
      </c>
      <c r="B65" s="447"/>
      <c r="D65" s="601">
        <v>1</v>
      </c>
      <c r="E65" s="680" t="s">
        <v>1002</v>
      </c>
      <c r="F65" s="676" t="s">
        <v>915</v>
      </c>
      <c r="G65" s="677"/>
      <c r="H65" s="951"/>
      <c r="I65" s="677"/>
      <c r="J65" s="951"/>
      <c r="K65" s="238" t="s">
        <v>1003</v>
      </c>
      <c r="X65" s="692">
        <v>0</v>
      </c>
    </row>
    <row r="66" spans="1:24" s="2360" customFormat="1" ht="56.25" hidden="1" customHeight="1">
      <c r="A66" s="2670"/>
      <c r="B66" s="447"/>
      <c r="D66" s="679" t="s">
        <v>110</v>
      </c>
      <c r="E66" s="643" t="s">
        <v>1004</v>
      </c>
      <c r="F66" s="596" t="s">
        <v>545</v>
      </c>
      <c r="G66" s="596" t="s">
        <v>545</v>
      </c>
      <c r="H66" s="455"/>
      <c r="I66" s="596" t="s">
        <v>545</v>
      </c>
      <c r="J66" s="455"/>
      <c r="K66" s="226"/>
      <c r="X66" s="692">
        <v>0</v>
      </c>
    </row>
    <row r="67" spans="1:24" s="2360" customFormat="1" ht="33.75" hidden="1" customHeight="1">
      <c r="A67" s="2670"/>
      <c r="B67" s="447"/>
      <c r="D67" s="679" t="s">
        <v>795</v>
      </c>
      <c r="E67" s="879" t="s">
        <v>1005</v>
      </c>
      <c r="F67" s="596" t="s">
        <v>969</v>
      </c>
      <c r="G67" s="663"/>
      <c r="H67" s="455"/>
      <c r="I67" s="663"/>
      <c r="J67" s="455"/>
      <c r="K67" s="226"/>
      <c r="X67" s="692">
        <v>0</v>
      </c>
    </row>
    <row r="68" spans="1:24" s="2360" customFormat="1" ht="22.5" hidden="1" customHeight="1">
      <c r="A68" s="2670"/>
      <c r="B68" s="447"/>
      <c r="D68" s="679" t="s">
        <v>306</v>
      </c>
      <c r="E68" s="879" t="s">
        <v>1006</v>
      </c>
      <c r="F68" s="596" t="s">
        <v>969</v>
      </c>
      <c r="G68" s="663"/>
      <c r="H68" s="455"/>
      <c r="I68" s="663"/>
      <c r="J68" s="455"/>
      <c r="K68" s="226"/>
      <c r="X68" s="692">
        <v>0</v>
      </c>
    </row>
    <row r="69" spans="1:24" s="2360" customFormat="1" ht="22.5" hidden="1" customHeight="1">
      <c r="A69" s="2670"/>
      <c r="B69" s="447"/>
      <c r="D69" s="679" t="s">
        <v>309</v>
      </c>
      <c r="E69" s="879" t="s">
        <v>1007</v>
      </c>
      <c r="F69" s="657" t="s">
        <v>557</v>
      </c>
      <c r="G69" s="678"/>
      <c r="H69" s="455"/>
      <c r="I69" s="678"/>
      <c r="J69" s="455"/>
      <c r="K69" s="226"/>
      <c r="X69" s="692">
        <v>0</v>
      </c>
    </row>
    <row r="70" spans="1:24" s="2360" customFormat="1" ht="22.5" hidden="1" customHeight="1">
      <c r="A70" s="2670"/>
      <c r="B70" s="447"/>
      <c r="D70" s="679" t="s">
        <v>815</v>
      </c>
      <c r="E70" s="879" t="s">
        <v>1008</v>
      </c>
      <c r="F70" s="657" t="s">
        <v>557</v>
      </c>
      <c r="G70" s="678"/>
      <c r="H70" s="455"/>
      <c r="I70" s="678"/>
      <c r="J70" s="455"/>
      <c r="K70" s="226"/>
      <c r="X70" s="692">
        <v>0</v>
      </c>
    </row>
    <row r="71" spans="1:24" s="2360" customFormat="1" ht="22.5" hidden="1" customHeight="1">
      <c r="A71" s="2670"/>
      <c r="B71" s="447"/>
      <c r="D71" s="601" t="s">
        <v>90</v>
      </c>
      <c r="E71" s="602" t="s">
        <v>1009</v>
      </c>
      <c r="F71" s="596" t="s">
        <v>969</v>
      </c>
      <c r="G71" s="493"/>
      <c r="H71" s="952"/>
      <c r="I71" s="493"/>
      <c r="J71" s="952"/>
      <c r="K71" s="239"/>
      <c r="X71" s="692">
        <v>0</v>
      </c>
    </row>
    <row r="72" spans="1:24" s="2360" customFormat="1" ht="56.25" hidden="1" customHeight="1">
      <c r="A72" s="2670"/>
      <c r="B72" s="447"/>
      <c r="D72" s="601" t="s">
        <v>91</v>
      </c>
      <c r="E72" s="602" t="s">
        <v>1010</v>
      </c>
      <c r="F72" s="657" t="s">
        <v>557</v>
      </c>
      <c r="G72" s="678"/>
      <c r="H72" s="945"/>
      <c r="I72" s="678"/>
      <c r="J72" s="945"/>
      <c r="K72" s="239"/>
      <c r="X72" s="692">
        <v>0</v>
      </c>
    </row>
    <row r="73" spans="1:24" s="2360" customFormat="1" ht="33.75" hidden="1" customHeight="1">
      <c r="A73" s="2670"/>
      <c r="B73" s="447"/>
      <c r="D73" s="601" t="s">
        <v>111</v>
      </c>
      <c r="E73" s="602" t="s">
        <v>1011</v>
      </c>
      <c r="F73" s="662" t="s">
        <v>925</v>
      </c>
      <c r="G73" s="604"/>
      <c r="H73" s="945"/>
      <c r="I73" s="604"/>
      <c r="J73" s="945"/>
      <c r="K73" s="226"/>
      <c r="X73" s="692">
        <v>0</v>
      </c>
    </row>
    <row r="74" spans="1:24" s="2360" customFormat="1" ht="22.5" hidden="1" customHeight="1">
      <c r="A74" s="2670"/>
      <c r="B74" s="447" t="s">
        <v>587</v>
      </c>
      <c r="D74" s="601" t="s">
        <v>92</v>
      </c>
      <c r="E74" s="602" t="s">
        <v>1012</v>
      </c>
      <c r="F74" s="662" t="s">
        <v>305</v>
      </c>
      <c r="G74" s="318"/>
      <c r="H74" s="945"/>
      <c r="I74" s="318"/>
      <c r="J74" s="945"/>
      <c r="K74" s="226" t="s">
        <v>718</v>
      </c>
      <c r="X74" s="692">
        <v>0</v>
      </c>
    </row>
    <row r="75" spans="1:24" s="2360" customFormat="1" ht="45" hidden="1" customHeight="1">
      <c r="A75" s="2670"/>
      <c r="B75" s="447" t="s">
        <v>587</v>
      </c>
      <c r="D75" s="601" t="s">
        <v>739</v>
      </c>
      <c r="E75" s="603" t="s">
        <v>1013</v>
      </c>
      <c r="F75" s="657" t="s">
        <v>305</v>
      </c>
      <c r="G75" s="318"/>
      <c r="H75" s="945"/>
      <c r="I75" s="318"/>
      <c r="J75" s="945"/>
      <c r="K75" s="226" t="s">
        <v>718</v>
      </c>
      <c r="X75" s="692">
        <v>0</v>
      </c>
    </row>
    <row r="76" spans="1:24" s="2360" customFormat="1" ht="11.45" customHeight="1">
      <c r="A76" s="955"/>
      <c r="B76" s="454"/>
      <c r="D76" s="956"/>
      <c r="E76" s="957"/>
      <c r="X76" s="445">
        <v>11</v>
      </c>
    </row>
    <row r="77" spans="1:24" s="2360" customFormat="1" ht="11.25" hidden="1" customHeight="1">
      <c r="A77" s="2670" t="s">
        <v>1014</v>
      </c>
      <c r="B77" s="447"/>
      <c r="D77" s="601">
        <v>1</v>
      </c>
      <c r="E77" s="602" t="s">
        <v>1015</v>
      </c>
      <c r="F77" s="657" t="s">
        <v>915</v>
      </c>
      <c r="G77" s="660"/>
      <c r="H77" s="945"/>
      <c r="I77" s="660"/>
      <c r="J77" s="945"/>
      <c r="K77" s="226" t="s">
        <v>1016</v>
      </c>
      <c r="X77" s="692">
        <v>0</v>
      </c>
    </row>
    <row r="78" spans="1:24" s="2360" customFormat="1" ht="11.25" hidden="1" customHeight="1">
      <c r="A78" s="2670"/>
      <c r="B78" s="447"/>
      <c r="D78" s="601" t="s">
        <v>110</v>
      </c>
      <c r="E78" s="602" t="s">
        <v>1017</v>
      </c>
      <c r="F78" s="657" t="s">
        <v>915</v>
      </c>
      <c r="G78" s="660"/>
      <c r="H78" s="945"/>
      <c r="I78" s="660"/>
      <c r="J78" s="945"/>
      <c r="K78" s="226" t="s">
        <v>1018</v>
      </c>
      <c r="X78" s="692">
        <v>0</v>
      </c>
    </row>
    <row r="79" spans="1:24" s="2360" customFormat="1" ht="22.5" hidden="1" customHeight="1">
      <c r="A79" s="2670"/>
      <c r="B79" s="447"/>
      <c r="D79" s="601" t="s">
        <v>90</v>
      </c>
      <c r="E79" s="658" t="s">
        <v>1019</v>
      </c>
      <c r="F79" s="596" t="s">
        <v>966</v>
      </c>
      <c r="G79" s="660"/>
      <c r="H79" s="945"/>
      <c r="I79" s="660"/>
      <c r="J79" s="945"/>
      <c r="K79" s="226" t="s">
        <v>1020</v>
      </c>
      <c r="X79" s="692">
        <v>0</v>
      </c>
    </row>
    <row r="80" spans="1:24" s="2360" customFormat="1" ht="11.25" hidden="1" customHeight="1">
      <c r="A80" s="2670"/>
      <c r="B80" s="447"/>
      <c r="D80" s="601" t="s">
        <v>323</v>
      </c>
      <c r="E80" s="659" t="s">
        <v>1021</v>
      </c>
      <c r="F80" s="596" t="s">
        <v>966</v>
      </c>
      <c r="G80" s="660"/>
      <c r="H80" s="945"/>
      <c r="I80" s="660"/>
      <c r="J80" s="945"/>
      <c r="K80" s="226"/>
      <c r="X80" s="692">
        <v>0</v>
      </c>
    </row>
    <row r="81" spans="1:24" s="2360" customFormat="1" ht="11.25" hidden="1" customHeight="1">
      <c r="A81" s="2670"/>
      <c r="B81" s="447"/>
      <c r="D81" s="601" t="s">
        <v>331</v>
      </c>
      <c r="E81" s="659" t="s">
        <v>1022</v>
      </c>
      <c r="F81" s="596" t="s">
        <v>966</v>
      </c>
      <c r="G81" s="660"/>
      <c r="H81" s="945"/>
      <c r="I81" s="660"/>
      <c r="J81" s="945"/>
      <c r="K81" s="226"/>
      <c r="X81" s="692">
        <v>0</v>
      </c>
    </row>
    <row r="82" spans="1:24" s="2360" customFormat="1" ht="11.25" hidden="1" customHeight="1">
      <c r="A82" s="2670"/>
      <c r="B82" s="447"/>
      <c r="D82" s="601" t="s">
        <v>333</v>
      </c>
      <c r="E82" s="659" t="s">
        <v>1023</v>
      </c>
      <c r="F82" s="596" t="s">
        <v>966</v>
      </c>
      <c r="G82" s="660"/>
      <c r="H82" s="945"/>
      <c r="I82" s="660"/>
      <c r="J82" s="945"/>
      <c r="K82" s="226"/>
      <c r="X82" s="692">
        <v>0</v>
      </c>
    </row>
    <row r="83" spans="1:24" s="2360" customFormat="1" ht="11.25" hidden="1" customHeight="1">
      <c r="A83" s="2670"/>
      <c r="B83" s="447"/>
      <c r="D83" s="601" t="s">
        <v>335</v>
      </c>
      <c r="E83" s="659" t="s">
        <v>1024</v>
      </c>
      <c r="F83" s="596" t="s">
        <v>966</v>
      </c>
      <c r="G83" s="660"/>
      <c r="H83" s="945"/>
      <c r="I83" s="660"/>
      <c r="J83" s="945"/>
      <c r="K83" s="226"/>
      <c r="X83" s="692">
        <v>0</v>
      </c>
    </row>
    <row r="84" spans="1:24" s="2360" customFormat="1" ht="11.25" hidden="1" customHeight="1">
      <c r="A84" s="2670"/>
      <c r="B84" s="447"/>
      <c r="D84" s="601" t="s">
        <v>1025</v>
      </c>
      <c r="E84" s="659" t="s">
        <v>1026</v>
      </c>
      <c r="F84" s="596" t="s">
        <v>966</v>
      </c>
      <c r="G84" s="660"/>
      <c r="H84" s="945"/>
      <c r="I84" s="660"/>
      <c r="J84" s="945"/>
      <c r="K84" s="226"/>
      <c r="X84" s="692">
        <v>0</v>
      </c>
    </row>
    <row r="85" spans="1:24" s="2360" customFormat="1" ht="11.25" hidden="1" customHeight="1">
      <c r="A85" s="2670"/>
      <c r="B85" s="447"/>
      <c r="D85" s="601" t="s">
        <v>1027</v>
      </c>
      <c r="E85" s="659" t="s">
        <v>1028</v>
      </c>
      <c r="F85" s="596" t="s">
        <v>966</v>
      </c>
      <c r="G85" s="660"/>
      <c r="H85" s="945"/>
      <c r="I85" s="660"/>
      <c r="J85" s="945"/>
      <c r="K85" s="226"/>
      <c r="X85" s="692">
        <v>0</v>
      </c>
    </row>
    <row r="86" spans="1:24" s="2360" customFormat="1" ht="11.25" hidden="1" customHeight="1">
      <c r="A86" s="2670"/>
      <c r="B86" s="447"/>
      <c r="D86" s="601" t="s">
        <v>1029</v>
      </c>
      <c r="E86" s="659" t="s">
        <v>1030</v>
      </c>
      <c r="F86" s="596" t="s">
        <v>966</v>
      </c>
      <c r="G86" s="660"/>
      <c r="H86" s="945"/>
      <c r="I86" s="660"/>
      <c r="J86" s="945"/>
      <c r="K86" s="226"/>
      <c r="X86" s="692">
        <v>0</v>
      </c>
    </row>
    <row r="87" spans="1:24" s="2360" customFormat="1" ht="45" hidden="1" customHeight="1">
      <c r="A87" s="2670"/>
      <c r="B87" s="447"/>
      <c r="D87" s="601" t="s">
        <v>91</v>
      </c>
      <c r="E87" s="602" t="s">
        <v>1031</v>
      </c>
      <c r="F87" s="596" t="s">
        <v>966</v>
      </c>
      <c r="G87" s="660"/>
      <c r="H87" s="945"/>
      <c r="I87" s="660"/>
      <c r="J87" s="945"/>
      <c r="K87" s="226" t="s">
        <v>1032</v>
      </c>
      <c r="X87" s="692">
        <v>0</v>
      </c>
    </row>
    <row r="88" spans="1:24" s="2360" customFormat="1" ht="11.25" hidden="1" customHeight="1">
      <c r="A88" s="2670"/>
      <c r="B88" s="447"/>
      <c r="D88" s="601" t="s">
        <v>846</v>
      </c>
      <c r="E88" s="659" t="s">
        <v>1021</v>
      </c>
      <c r="F88" s="596" t="s">
        <v>966</v>
      </c>
      <c r="G88" s="660"/>
      <c r="H88" s="945"/>
      <c r="I88" s="660"/>
      <c r="J88" s="945"/>
      <c r="K88" s="226"/>
      <c r="X88" s="692">
        <v>0</v>
      </c>
    </row>
    <row r="89" spans="1:24" s="2360" customFormat="1" ht="11.25" hidden="1" customHeight="1">
      <c r="A89" s="2670"/>
      <c r="B89" s="447"/>
      <c r="D89" s="601" t="s">
        <v>890</v>
      </c>
      <c r="E89" s="659" t="s">
        <v>1022</v>
      </c>
      <c r="F89" s="596" t="s">
        <v>966</v>
      </c>
      <c r="G89" s="660"/>
      <c r="H89" s="945"/>
      <c r="I89" s="660"/>
      <c r="J89" s="945"/>
      <c r="K89" s="226"/>
      <c r="X89" s="692">
        <v>0</v>
      </c>
    </row>
    <row r="90" spans="1:24" s="2360" customFormat="1" ht="11.25" hidden="1" customHeight="1">
      <c r="A90" s="2670"/>
      <c r="B90" s="447"/>
      <c r="D90" s="601" t="s">
        <v>893</v>
      </c>
      <c r="E90" s="659" t="s">
        <v>1023</v>
      </c>
      <c r="F90" s="596" t="s">
        <v>966</v>
      </c>
      <c r="G90" s="660"/>
      <c r="H90" s="945"/>
      <c r="I90" s="660"/>
      <c r="J90" s="945"/>
      <c r="K90" s="226"/>
      <c r="X90" s="692">
        <v>0</v>
      </c>
    </row>
    <row r="91" spans="1:24" s="2360" customFormat="1" ht="11.25" hidden="1" customHeight="1">
      <c r="A91" s="2670"/>
      <c r="B91" s="447"/>
      <c r="D91" s="601" t="s">
        <v>984</v>
      </c>
      <c r="E91" s="659" t="s">
        <v>1024</v>
      </c>
      <c r="F91" s="596" t="s">
        <v>966</v>
      </c>
      <c r="G91" s="660"/>
      <c r="H91" s="945"/>
      <c r="I91" s="660"/>
      <c r="J91" s="945"/>
      <c r="K91" s="226"/>
      <c r="X91" s="692">
        <v>0</v>
      </c>
    </row>
    <row r="92" spans="1:24" s="2360" customFormat="1" ht="11.25" hidden="1" customHeight="1">
      <c r="A92" s="2670"/>
      <c r="B92" s="447"/>
      <c r="D92" s="601" t="s">
        <v>986</v>
      </c>
      <c r="E92" s="659" t="s">
        <v>1026</v>
      </c>
      <c r="F92" s="596" t="s">
        <v>966</v>
      </c>
      <c r="G92" s="660"/>
      <c r="H92" s="945"/>
      <c r="I92" s="660"/>
      <c r="J92" s="945"/>
      <c r="K92" s="226"/>
      <c r="X92" s="692">
        <v>0</v>
      </c>
    </row>
    <row r="93" spans="1:24" s="2360" customFormat="1" ht="11.25" hidden="1" customHeight="1">
      <c r="A93" s="2670"/>
      <c r="B93" s="447"/>
      <c r="D93" s="601" t="s">
        <v>1033</v>
      </c>
      <c r="E93" s="659" t="s">
        <v>1028</v>
      </c>
      <c r="F93" s="596" t="s">
        <v>966</v>
      </c>
      <c r="G93" s="660"/>
      <c r="H93" s="945"/>
      <c r="I93" s="660"/>
      <c r="J93" s="945"/>
      <c r="K93" s="226"/>
      <c r="X93" s="692">
        <v>0</v>
      </c>
    </row>
    <row r="94" spans="1:24" s="2360" customFormat="1" ht="11.25" hidden="1" customHeight="1">
      <c r="A94" s="2670"/>
      <c r="B94" s="447"/>
      <c r="D94" s="601" t="s">
        <v>1034</v>
      </c>
      <c r="E94" s="659" t="s">
        <v>1030</v>
      </c>
      <c r="F94" s="596" t="s">
        <v>966</v>
      </c>
      <c r="G94" s="660"/>
      <c r="H94" s="945"/>
      <c r="I94" s="660"/>
      <c r="J94" s="945"/>
      <c r="K94" s="226"/>
      <c r="X94" s="692">
        <v>0</v>
      </c>
    </row>
    <row r="95" spans="1:24" s="2360" customFormat="1" ht="24.75" hidden="1" customHeight="1">
      <c r="A95" s="2670"/>
      <c r="B95" s="447"/>
      <c r="D95" s="601" t="s">
        <v>111</v>
      </c>
      <c r="E95" s="602" t="s">
        <v>1035</v>
      </c>
      <c r="F95" s="661" t="s">
        <v>557</v>
      </c>
      <c r="G95" s="663"/>
      <c r="H95" s="945"/>
      <c r="I95" s="663"/>
      <c r="J95" s="945"/>
      <c r="K95" s="226" t="s">
        <v>1036</v>
      </c>
      <c r="X95" s="692">
        <v>0</v>
      </c>
    </row>
    <row r="96" spans="1:24" s="2360" customFormat="1" ht="33.75" hidden="1" customHeight="1">
      <c r="A96" s="2670"/>
      <c r="B96" s="447"/>
      <c r="D96" s="601" t="s">
        <v>92</v>
      </c>
      <c r="E96" s="602" t="s">
        <v>1037</v>
      </c>
      <c r="F96" s="662" t="s">
        <v>925</v>
      </c>
      <c r="G96" s="664"/>
      <c r="H96" s="945"/>
      <c r="I96" s="664"/>
      <c r="J96" s="945"/>
      <c r="K96" s="226"/>
      <c r="X96" s="692">
        <v>0</v>
      </c>
    </row>
    <row r="97" spans="1:24" s="2360" customFormat="1" ht="22.5" hidden="1" customHeight="1">
      <c r="A97" s="2670"/>
      <c r="B97" s="447" t="s">
        <v>587</v>
      </c>
      <c r="D97" s="601" t="s">
        <v>93</v>
      </c>
      <c r="E97" s="602" t="s">
        <v>1038</v>
      </c>
      <c r="F97" s="662" t="s">
        <v>305</v>
      </c>
      <c r="G97" s="321"/>
      <c r="H97" s="945"/>
      <c r="I97" s="321"/>
      <c r="J97" s="945"/>
      <c r="K97" s="226" t="s">
        <v>718</v>
      </c>
      <c r="X97" s="692">
        <v>0</v>
      </c>
    </row>
    <row r="98" spans="1:24" s="2360" customFormat="1" ht="45" hidden="1" customHeight="1">
      <c r="A98" s="2670"/>
      <c r="B98" s="447" t="s">
        <v>587</v>
      </c>
      <c r="D98" s="601" t="s">
        <v>903</v>
      </c>
      <c r="E98" s="603" t="s">
        <v>1039</v>
      </c>
      <c r="F98" s="657" t="s">
        <v>305</v>
      </c>
      <c r="G98" s="321"/>
      <c r="H98" s="945"/>
      <c r="I98" s="321"/>
      <c r="J98" s="945"/>
      <c r="K98" s="226" t="s">
        <v>718</v>
      </c>
      <c r="X98" s="692">
        <v>0</v>
      </c>
    </row>
    <row r="99" spans="1:24" s="2360" customFormat="1" ht="95.25" hidden="1" customHeight="1">
      <c r="A99" s="2670"/>
      <c r="B99" s="447" t="s">
        <v>587</v>
      </c>
      <c r="D99" s="601" t="s">
        <v>112</v>
      </c>
      <c r="E99" s="602" t="s">
        <v>1040</v>
      </c>
      <c r="F99" s="657" t="s">
        <v>305</v>
      </c>
      <c r="G99" s="321"/>
      <c r="H99" s="945"/>
      <c r="I99" s="321"/>
      <c r="J99" s="945"/>
      <c r="K99" s="226" t="s">
        <v>718</v>
      </c>
      <c r="X99" s="692">
        <v>0</v>
      </c>
    </row>
    <row r="100" spans="1:24" s="2360" customFormat="1" ht="22.5" hidden="1" customHeight="1">
      <c r="A100" s="2670"/>
      <c r="B100" s="447" t="s">
        <v>587</v>
      </c>
      <c r="D100" s="601" t="s">
        <v>149</v>
      </c>
      <c r="E100" s="602" t="s">
        <v>1041</v>
      </c>
      <c r="F100" s="657" t="s">
        <v>305</v>
      </c>
      <c r="G100" s="321"/>
      <c r="H100" s="945"/>
      <c r="I100" s="321"/>
      <c r="J100" s="945"/>
      <c r="K100" s="226" t="s">
        <v>718</v>
      </c>
      <c r="X100" s="692">
        <v>0</v>
      </c>
    </row>
    <row r="101" spans="1:24" s="2360" customFormat="1" ht="11.45" customHeight="1">
      <c r="A101" s="955"/>
      <c r="B101" s="454"/>
      <c r="D101" s="956"/>
      <c r="E101" s="957"/>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hyperlinks>
    <hyperlink ref="J19" r:id="rId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2380" hidden="1" customWidth="1"/>
    <col min="2" max="2" width="2" style="2380" hidden="1" customWidth="1"/>
    <col min="3" max="3" width="3" style="2380" customWidth="1"/>
    <col min="4" max="4" width="4" style="2380" customWidth="1"/>
    <col min="5" max="5" width="44" style="2380" customWidth="1"/>
    <col min="6" max="6" width="6.42578125" style="2380" customWidth="1"/>
    <col min="7" max="7" width="4" style="2380" customWidth="1"/>
    <col min="8" max="8" width="5" style="2380" customWidth="1"/>
    <col min="9" max="9" width="52" style="2380" customWidth="1"/>
    <col min="10" max="10" width="7" style="2380" customWidth="1"/>
    <col min="11" max="11" width="3" style="2380" customWidth="1"/>
    <col min="12" max="12" width="6" style="2380" customWidth="1"/>
    <col min="13" max="13" width="56" style="2380" customWidth="1"/>
    <col min="14" max="14" width="8" style="2334" customWidth="1"/>
    <col min="15" max="20" width="9.140625" style="2358" hidden="1"/>
    <col min="21" max="24" width="9.140625" style="2365" hidden="1"/>
    <col min="25" max="37" width="9.140625" style="2334" hidden="1"/>
    <col min="38" max="38" width="8" style="2334" customWidth="1"/>
    <col min="39" max="39" width="9.140625" style="238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28"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429"/>
      <c r="F4" s="2429"/>
      <c r="G4" s="2429"/>
      <c r="H4" s="2429"/>
      <c r="I4" s="2430"/>
      <c r="J4" s="520"/>
      <c r="K4" s="520"/>
      <c r="L4" s="520"/>
      <c r="M4" s="520"/>
      <c r="AM4" s="519">
        <v>34</v>
      </c>
    </row>
    <row r="5" spans="1:39" s="2323" customFormat="1" ht="14.65" customHeight="1">
      <c r="A5" s="521"/>
      <c r="B5" s="521"/>
      <c r="C5" s="521"/>
      <c r="D5" s="2431" t="str">
        <f>IF(org=0,"Не определено",org)</f>
        <v>ООО "Пятигорсктеплосервис"</v>
      </c>
      <c r="E5" s="2432"/>
      <c r="F5" s="2432"/>
      <c r="G5" s="2432"/>
      <c r="H5" s="2432"/>
      <c r="I5" s="2433"/>
      <c r="J5" s="522"/>
      <c r="K5" s="522"/>
      <c r="L5" s="522"/>
      <c r="M5" s="522"/>
      <c r="N5" s="522"/>
      <c r="O5" s="796"/>
      <c r="P5" s="796"/>
      <c r="Q5" s="796"/>
      <c r="R5" s="796"/>
      <c r="S5" s="796"/>
      <c r="T5" s="796"/>
      <c r="U5" s="1177"/>
      <c r="V5" s="1177"/>
      <c r="W5" s="1177"/>
      <c r="X5" s="1177"/>
      <c r="Y5" s="522"/>
      <c r="Z5" s="522"/>
      <c r="AA5" s="522"/>
      <c r="AB5" s="522"/>
      <c r="AC5" s="522"/>
      <c r="AD5" s="522"/>
      <c r="AE5" s="522"/>
      <c r="AF5" s="522"/>
      <c r="AG5" s="522"/>
      <c r="AH5" s="522"/>
      <c r="AI5" s="522"/>
      <c r="AJ5" s="522"/>
      <c r="AK5" s="522"/>
      <c r="AL5" s="522"/>
      <c r="AM5" s="523">
        <v>14</v>
      </c>
    </row>
    <row r="6" spans="1:39" s="2323" customFormat="1" ht="6.4" customHeight="1">
      <c r="A6" s="2420"/>
      <c r="B6" s="2420"/>
      <c r="C6" s="2420"/>
      <c r="D6" s="2420"/>
      <c r="E6" s="2420"/>
      <c r="F6" s="2420"/>
      <c r="G6" s="524"/>
      <c r="H6" s="524"/>
      <c r="I6" s="524"/>
      <c r="J6" s="524"/>
      <c r="K6" s="524"/>
      <c r="N6" s="526"/>
      <c r="O6" s="1330"/>
      <c r="P6" s="1330"/>
      <c r="Q6" s="1330"/>
      <c r="R6" s="1330"/>
      <c r="S6" s="1330"/>
      <c r="T6" s="1330"/>
      <c r="U6" s="1180"/>
      <c r="V6" s="1180"/>
      <c r="W6" s="1180"/>
      <c r="X6" s="1180"/>
      <c r="Y6" s="526"/>
      <c r="Z6" s="526"/>
      <c r="AA6" s="526"/>
      <c r="AB6" s="526"/>
      <c r="AC6" s="526"/>
      <c r="AD6" s="526"/>
      <c r="AE6" s="526"/>
      <c r="AF6" s="526"/>
      <c r="AG6" s="526"/>
      <c r="AH6" s="526"/>
      <c r="AI6" s="526"/>
      <c r="AJ6" s="526"/>
      <c r="AK6" s="526"/>
      <c r="AL6" s="526"/>
      <c r="AM6" s="525">
        <v>6</v>
      </c>
    </row>
    <row r="7" spans="1:39" ht="45.75" hidden="1" customHeight="1">
      <c r="E7" s="24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39"/>
      <c r="G7" s="2439"/>
      <c r="H7" s="2439"/>
      <c r="I7" s="2439"/>
      <c r="J7" s="2439"/>
      <c r="K7" s="2439"/>
      <c r="L7" s="2439"/>
      <c r="M7" s="2439"/>
      <c r="AM7" s="519">
        <v>0</v>
      </c>
    </row>
    <row r="8" spans="1:39" s="2323" customFormat="1" ht="6.4" customHeight="1">
      <c r="A8" s="527"/>
      <c r="B8" s="527"/>
      <c r="C8" s="527"/>
      <c r="D8" s="527"/>
      <c r="E8" s="527"/>
      <c r="F8" s="527"/>
      <c r="G8" s="527"/>
      <c r="H8" s="527"/>
      <c r="I8" s="527"/>
      <c r="J8" s="527"/>
      <c r="K8" s="527"/>
      <c r="L8" s="527"/>
      <c r="M8" s="525"/>
      <c r="N8" s="522"/>
      <c r="O8" s="796"/>
      <c r="P8" s="796"/>
      <c r="Q8" s="796"/>
      <c r="R8" s="796"/>
      <c r="S8" s="796"/>
      <c r="T8" s="796"/>
      <c r="U8" s="1177"/>
      <c r="V8" s="1177"/>
      <c r="W8" s="1177"/>
      <c r="X8" s="1177"/>
      <c r="Y8" s="522"/>
      <c r="Z8" s="522"/>
      <c r="AA8" s="522"/>
      <c r="AB8" s="522"/>
      <c r="AC8" s="522"/>
      <c r="AD8" s="522"/>
      <c r="AE8" s="522"/>
      <c r="AF8" s="522"/>
      <c r="AG8" s="522"/>
      <c r="AH8" s="522"/>
      <c r="AI8" s="522"/>
      <c r="AJ8" s="522"/>
      <c r="AK8" s="522"/>
      <c r="AL8" s="522"/>
      <c r="AM8" s="523">
        <v>6</v>
      </c>
    </row>
    <row r="9" spans="1:39" ht="18.75" customHeight="1">
      <c r="A9" s="2434"/>
      <c r="B9" s="260"/>
      <c r="C9" s="260"/>
      <c r="D9" s="2435" t="s">
        <v>105</v>
      </c>
      <c r="E9" s="2435"/>
      <c r="F9" s="2436" t="s">
        <v>106</v>
      </c>
      <c r="G9" s="2437"/>
      <c r="H9" s="2437"/>
      <c r="I9" s="2437"/>
      <c r="J9" s="2440" t="s">
        <v>107</v>
      </c>
      <c r="K9" s="2440"/>
      <c r="L9" s="2440"/>
      <c r="M9" s="2440"/>
      <c r="AM9" s="519">
        <v>18</v>
      </c>
    </row>
    <row r="10" spans="1:39" ht="24" customHeight="1">
      <c r="A10" s="2434"/>
      <c r="B10" s="528"/>
      <c r="C10" s="461"/>
      <c r="D10" s="459" t="s">
        <v>88</v>
      </c>
      <c r="E10" s="459" t="s">
        <v>89</v>
      </c>
      <c r="F10" s="459" t="s">
        <v>108</v>
      </c>
      <c r="G10" s="2441" t="s">
        <v>88</v>
      </c>
      <c r="H10" s="2442"/>
      <c r="I10" s="459" t="s">
        <v>89</v>
      </c>
      <c r="J10" s="459" t="s">
        <v>108</v>
      </c>
      <c r="K10" s="2441" t="s">
        <v>88</v>
      </c>
      <c r="L10" s="2442"/>
      <c r="M10" s="459" t="s">
        <v>89</v>
      </c>
      <c r="N10" s="1543"/>
      <c r="AM10" s="519">
        <v>23</v>
      </c>
    </row>
    <row r="11" spans="1:39" s="2380" customFormat="1" ht="11.25" hidden="1" customHeight="1">
      <c r="A11" s="529"/>
      <c r="B11" s="529"/>
      <c r="C11" s="529"/>
      <c r="D11" s="530" t="s">
        <v>109</v>
      </c>
      <c r="E11" s="530" t="s">
        <v>110</v>
      </c>
      <c r="F11" s="530" t="s">
        <v>90</v>
      </c>
      <c r="G11" s="2424" t="s">
        <v>91</v>
      </c>
      <c r="H11" s="2425"/>
      <c r="I11" s="530" t="s">
        <v>111</v>
      </c>
      <c r="J11" s="530" t="s">
        <v>92</v>
      </c>
      <c r="K11" s="2426" t="s">
        <v>93</v>
      </c>
      <c r="L11" s="2427"/>
      <c r="M11" s="530" t="s">
        <v>112</v>
      </c>
      <c r="N11" s="1542"/>
      <c r="O11" s="1329"/>
      <c r="P11" s="1331"/>
      <c r="Q11" s="1331"/>
      <c r="R11" s="1331"/>
      <c r="S11" s="1331"/>
      <c r="T11" s="1331"/>
      <c r="U11" s="1181"/>
      <c r="V11" s="1181"/>
      <c r="W11" s="1181"/>
      <c r="X11" s="118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0"/>
      <c r="H12" s="980"/>
      <c r="I12" s="536"/>
      <c r="J12" s="536"/>
      <c r="K12" s="111"/>
      <c r="L12" s="303"/>
      <c r="M12" s="537"/>
      <c r="N12" s="1543"/>
      <c r="O12" s="1329" t="s">
        <v>113</v>
      </c>
      <c r="P12" s="1329" t="s">
        <v>114</v>
      </c>
      <c r="Q12" s="1329" t="s">
        <v>115</v>
      </c>
      <c r="R12" s="1329" t="s">
        <v>116</v>
      </c>
      <c r="AM12" s="519">
        <v>1</v>
      </c>
    </row>
    <row r="13" spans="1:39" s="2380" customFormat="1" ht="15.75" customHeight="1">
      <c r="A13" s="230"/>
      <c r="B13" s="230"/>
      <c r="C13" s="462"/>
      <c r="D13" s="2446" t="s">
        <v>109</v>
      </c>
      <c r="E13" s="2447" t="str">
        <f>INDEX(VD_NAME_LIST,MATCH("4190064",VD_ID_LIST,0))&amp;"; "&amp;INDEX(VD_NAME_LIST,MATCH("4190068",VD_ID_LIST,0))&amp;"; "&amp;INDEX(VD_NAME_LIST,MATCH("4190070",VD_ID_LIST,0))&amp;"; "&amp;INDEX(VD_NAME_LIST,MATCH("4190072",VD_ID_LIST,0))&amp;"; "&amp;INDEX(VD_NAME_LIST,MATCH("4190073",VD_ID_LIST,0))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F13" s="2450" t="s">
        <v>19</v>
      </c>
      <c r="G13" s="2451"/>
      <c r="H13" s="2452">
        <v>1</v>
      </c>
      <c r="I13" s="2443" t="s">
        <v>22</v>
      </c>
      <c r="J13" s="2445" t="s">
        <v>19</v>
      </c>
      <c r="K13" s="538"/>
      <c r="L13" s="463" t="s">
        <v>109</v>
      </c>
      <c r="M13" s="539" t="s">
        <v>22</v>
      </c>
      <c r="N13" s="742"/>
      <c r="O13" s="1332" t="s">
        <v>117</v>
      </c>
      <c r="P13" s="1329" t="str">
        <f>$E$13</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Q13" s="1329" t="str">
        <f>IF($F$13="нет","без дифференциации",$I$13)</f>
        <v>без дифференциации</v>
      </c>
      <c r="R13" s="1329" t="str">
        <f>IF($J$13="нет","без дифференциации",M13)</f>
        <v>без дифференциации</v>
      </c>
      <c r="S13" s="1332"/>
      <c r="T13" s="1332"/>
      <c r="U13" s="1182"/>
      <c r="V13" s="1182" t="s">
        <v>118</v>
      </c>
      <c r="W13" s="1182"/>
      <c r="X13" s="1182"/>
      <c r="Y13" s="540" t="s">
        <v>119</v>
      </c>
      <c r="Z13" s="540">
        <v>1705000</v>
      </c>
      <c r="AA13" s="540"/>
      <c r="AB13" s="540"/>
      <c r="AC13" s="540"/>
      <c r="AD13" s="540"/>
      <c r="AE13" s="540"/>
      <c r="AF13" s="540"/>
      <c r="AG13" s="540"/>
      <c r="AH13" s="540"/>
      <c r="AI13" s="540"/>
      <c r="AJ13" s="540"/>
      <c r="AK13" s="540"/>
      <c r="AL13" s="540"/>
      <c r="AM13" s="542">
        <v>15</v>
      </c>
    </row>
    <row r="14" spans="1:39" s="2380" customFormat="1" ht="15.75" customHeight="1">
      <c r="A14" s="230"/>
      <c r="B14" s="230"/>
      <c r="C14" s="113"/>
      <c r="D14" s="2446"/>
      <c r="E14" s="2448"/>
      <c r="F14" s="2445"/>
      <c r="G14" s="2451"/>
      <c r="H14" s="2452"/>
      <c r="I14" s="2444" t="s">
        <v>22</v>
      </c>
      <c r="J14" s="2445"/>
      <c r="K14" s="357"/>
      <c r="L14" s="114"/>
      <c r="M14" s="543" t="s">
        <v>120</v>
      </c>
      <c r="N14" s="742"/>
      <c r="O14" s="1332"/>
      <c r="P14" s="1329"/>
      <c r="Q14" s="1329"/>
      <c r="R14" s="1329"/>
      <c r="S14" s="1332"/>
      <c r="T14" s="1332"/>
      <c r="U14" s="1182"/>
      <c r="V14" s="1182"/>
      <c r="W14" s="1182"/>
      <c r="X14" s="1182"/>
      <c r="Y14" s="540"/>
      <c r="Z14" s="540"/>
      <c r="AA14" s="540"/>
      <c r="AB14" s="540"/>
      <c r="AC14" s="540"/>
      <c r="AD14" s="540"/>
      <c r="AE14" s="540"/>
      <c r="AF14" s="540"/>
      <c r="AG14" s="540"/>
      <c r="AH14" s="540"/>
      <c r="AI14" s="540"/>
      <c r="AJ14" s="540"/>
      <c r="AK14" s="540"/>
      <c r="AL14" s="540"/>
      <c r="AM14" s="542">
        <v>15</v>
      </c>
    </row>
    <row r="15" spans="1:39" s="2380" customFormat="1" ht="15.75" customHeight="1">
      <c r="A15" s="230"/>
      <c r="B15" s="230"/>
      <c r="C15" s="113"/>
      <c r="D15" s="2446"/>
      <c r="E15" s="2449"/>
      <c r="F15" s="2445"/>
      <c r="G15" s="981"/>
      <c r="H15" s="982"/>
      <c r="I15" s="516" t="s">
        <v>121</v>
      </c>
      <c r="J15" s="114"/>
      <c r="K15" s="114"/>
      <c r="L15" s="114"/>
      <c r="M15" s="544"/>
      <c r="N15" s="742"/>
      <c r="O15" s="1332"/>
      <c r="P15" s="1329"/>
      <c r="Q15" s="1329"/>
      <c r="R15" s="1329"/>
      <c r="S15" s="1332"/>
      <c r="T15" s="1332"/>
      <c r="U15" s="1182"/>
      <c r="V15" s="1182"/>
      <c r="W15" s="1182"/>
      <c r="X15" s="1182"/>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22</v>
      </c>
      <c r="L16" s="114"/>
      <c r="M16" s="544"/>
      <c r="N16" s="154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29">
        <v>0</v>
      </c>
      <c r="P17" s="1329">
        <v>0</v>
      </c>
      <c r="Q17" s="1329">
        <v>0</v>
      </c>
      <c r="R17" s="1329">
        <v>0</v>
      </c>
      <c r="S17" s="1329">
        <v>0</v>
      </c>
      <c r="T17" s="1329">
        <v>0</v>
      </c>
      <c r="U17" s="1179">
        <v>0</v>
      </c>
      <c r="V17" s="1179">
        <v>0</v>
      </c>
      <c r="W17" s="1179">
        <v>0</v>
      </c>
      <c r="X17" s="117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370" hidden="1" customWidth="1"/>
    <col min="2" max="2" width="9.140625" style="2360" hidden="1" customWidth="1"/>
    <col min="3" max="3" width="4" style="2356" customWidth="1"/>
    <col min="4" max="4" width="6" style="2360" customWidth="1"/>
    <col min="5" max="5" width="36" style="2360" customWidth="1"/>
    <col min="6" max="6" width="9" style="2360" customWidth="1"/>
    <col min="7" max="7" width="25.7109375" style="2360" hidden="1" customWidth="1"/>
    <col min="8" max="8" width="33.7109375" style="2360" hidden="1" customWidth="1"/>
    <col min="9" max="9" width="25.7109375" style="2360" customWidth="1"/>
    <col min="10" max="10" width="33" style="2360" customWidth="1"/>
    <col min="11" max="11" width="93" style="2357" customWidth="1"/>
    <col min="12" max="20" width="10" style="2360" customWidth="1"/>
    <col min="21" max="21" width="10" style="2363" customWidth="1"/>
    <col min="22" max="22" width="10.5703125" style="2360" hidden="1"/>
  </cols>
  <sheetData>
    <row r="1" spans="1:22" s="2357" customFormat="1" ht="22.5" hidden="1" customHeight="1">
      <c r="C1" s="608"/>
      <c r="G1" s="353">
        <v>4</v>
      </c>
      <c r="I1" s="353">
        <v>4</v>
      </c>
      <c r="U1" s="356"/>
      <c r="V1" s="353" t="s">
        <v>14</v>
      </c>
    </row>
    <row r="2" spans="1:22" s="2357" customFormat="1" ht="15" hidden="1" customHeight="1">
      <c r="C2" s="608"/>
      <c r="U2" s="356"/>
      <c r="V2" s="353">
        <v>0</v>
      </c>
    </row>
    <row r="3" spans="1:22" ht="22.5" hidden="1" customHeight="1">
      <c r="A3" s="441"/>
      <c r="B3" s="2671"/>
      <c r="C3" s="2672" t="s">
        <v>568</v>
      </c>
      <c r="D3" s="625" t="str">
        <f>B3&amp;".1"</f>
        <v>.1</v>
      </c>
      <c r="E3" s="626" t="s">
        <v>1042</v>
      </c>
      <c r="F3" s="627" t="s">
        <v>305</v>
      </c>
      <c r="G3" s="622"/>
      <c r="H3" s="337"/>
      <c r="I3" s="622"/>
      <c r="J3" s="337"/>
      <c r="K3" s="226" t="s">
        <v>1043</v>
      </c>
      <c r="V3" s="441">
        <v>0</v>
      </c>
    </row>
    <row r="4" spans="1:22" ht="15" hidden="1" customHeight="1">
      <c r="A4" s="441"/>
      <c r="B4" s="2671"/>
      <c r="C4" s="2672"/>
      <c r="D4" s="625" t="str">
        <f>B3&amp;".2"</f>
        <v>.2</v>
      </c>
      <c r="E4" s="626" t="s">
        <v>1044</v>
      </c>
      <c r="F4" s="627" t="s">
        <v>305</v>
      </c>
      <c r="G4" s="1653" t="s">
        <v>22</v>
      </c>
      <c r="H4" s="337"/>
      <c r="I4" s="1653" t="s">
        <v>22</v>
      </c>
      <c r="J4" s="337"/>
      <c r="K4" s="226" t="s">
        <v>1045</v>
      </c>
      <c r="V4" s="441">
        <v>0</v>
      </c>
    </row>
    <row r="5" spans="1:22" s="2357" customFormat="1" ht="15" hidden="1" customHeight="1">
      <c r="C5" s="608"/>
      <c r="U5" s="356"/>
      <c r="V5" s="353">
        <v>0</v>
      </c>
    </row>
    <row r="6" spans="1:22" ht="22.5" hidden="1" customHeight="1">
      <c r="A6" s="441"/>
      <c r="B6" s="2671"/>
      <c r="C6" s="2672" t="s">
        <v>568</v>
      </c>
      <c r="D6" s="625" t="str">
        <f>B6&amp;".1"</f>
        <v>.1</v>
      </c>
      <c r="E6" s="626" t="s">
        <v>1046</v>
      </c>
      <c r="F6" s="627" t="s">
        <v>305</v>
      </c>
      <c r="G6" s="622"/>
      <c r="H6" s="337"/>
      <c r="I6" s="622"/>
      <c r="J6" s="337"/>
      <c r="K6" s="226" t="s">
        <v>1047</v>
      </c>
      <c r="V6" s="441">
        <v>0</v>
      </c>
    </row>
    <row r="7" spans="1:22" ht="15" hidden="1" customHeight="1">
      <c r="A7" s="441"/>
      <c r="B7" s="2671"/>
      <c r="C7" s="2672"/>
      <c r="D7" s="625" t="str">
        <f>B6&amp;".2"</f>
        <v>.2</v>
      </c>
      <c r="E7" s="626" t="s">
        <v>1044</v>
      </c>
      <c r="F7" s="627" t="s">
        <v>305</v>
      </c>
      <c r="G7" s="1653" t="s">
        <v>22</v>
      </c>
      <c r="H7" s="337"/>
      <c r="I7" s="1653" t="s">
        <v>22</v>
      </c>
      <c r="J7" s="337"/>
      <c r="K7" s="226" t="s">
        <v>1045</v>
      </c>
      <c r="V7" s="441">
        <v>0</v>
      </c>
    </row>
    <row r="8" spans="1:22" s="2357" customFormat="1" ht="15" hidden="1" customHeight="1">
      <c r="C8" s="608"/>
      <c r="U8" s="356"/>
      <c r="V8" s="353">
        <v>0</v>
      </c>
    </row>
    <row r="9" spans="1:22" ht="22.5" hidden="1" customHeight="1">
      <c r="A9" s="441"/>
      <c r="B9" s="2671"/>
      <c r="C9" s="2672" t="s">
        <v>568</v>
      </c>
      <c r="D9" s="625" t="str">
        <f>B9&amp;".1"</f>
        <v>.1</v>
      </c>
      <c r="E9" s="626" t="s">
        <v>1048</v>
      </c>
      <c r="F9" s="627" t="s">
        <v>305</v>
      </c>
      <c r="G9" s="633" t="s">
        <v>22</v>
      </c>
      <c r="H9" s="337" t="s">
        <v>22</v>
      </c>
      <c r="I9" s="633" t="s">
        <v>22</v>
      </c>
      <c r="J9" s="337" t="s">
        <v>22</v>
      </c>
      <c r="K9" s="226"/>
      <c r="V9" s="441">
        <v>0</v>
      </c>
    </row>
    <row r="10" spans="1:22" ht="15" hidden="1" customHeight="1">
      <c r="A10" s="441"/>
      <c r="B10" s="2671"/>
      <c r="C10" s="2672"/>
      <c r="D10" s="625" t="str">
        <f>B9&amp;".2"</f>
        <v>.2</v>
      </c>
      <c r="E10" s="626" t="s">
        <v>1049</v>
      </c>
      <c r="F10" s="627" t="s">
        <v>305</v>
      </c>
      <c r="G10" s="1647" t="s">
        <v>22</v>
      </c>
      <c r="H10" s="337" t="s">
        <v>22</v>
      </c>
      <c r="I10" s="1647" t="s">
        <v>22</v>
      </c>
      <c r="J10" s="337" t="s">
        <v>22</v>
      </c>
      <c r="K10" s="226" t="s">
        <v>1050</v>
      </c>
      <c r="V10" s="441">
        <v>0</v>
      </c>
    </row>
    <row r="11" spans="1:22" ht="15" hidden="1" customHeight="1">
      <c r="A11" s="441"/>
      <c r="B11" s="2671"/>
      <c r="C11" s="2672"/>
      <c r="D11" s="625" t="str">
        <f>B9&amp;".3"</f>
        <v>.3</v>
      </c>
      <c r="E11" s="626" t="s">
        <v>1051</v>
      </c>
      <c r="F11" s="627" t="s">
        <v>305</v>
      </c>
      <c r="G11" s="1647" t="s">
        <v>22</v>
      </c>
      <c r="H11" s="337" t="s">
        <v>22</v>
      </c>
      <c r="I11" s="1647" t="s">
        <v>22</v>
      </c>
      <c r="J11" s="337" t="s">
        <v>22</v>
      </c>
      <c r="K11" s="226" t="s">
        <v>1052</v>
      </c>
      <c r="V11" s="441">
        <v>0</v>
      </c>
    </row>
    <row r="12" spans="1:22" s="2357" customFormat="1" ht="15" hidden="1" customHeight="1">
      <c r="C12" s="608"/>
      <c r="U12" s="356"/>
      <c r="V12" s="353">
        <v>0</v>
      </c>
    </row>
    <row r="13" spans="1:22" ht="33.75" hidden="1" customHeight="1">
      <c r="A13" s="441"/>
      <c r="B13" s="2671"/>
      <c r="C13" s="2672" t="s">
        <v>568</v>
      </c>
      <c r="D13" s="625" t="str">
        <f>B13&amp;".1"</f>
        <v>.1</v>
      </c>
      <c r="E13" s="626" t="s">
        <v>1053</v>
      </c>
      <c r="F13" s="627" t="s">
        <v>305</v>
      </c>
      <c r="G13" s="633" t="s">
        <v>22</v>
      </c>
      <c r="H13" s="337" t="s">
        <v>22</v>
      </c>
      <c r="I13" s="633" t="s">
        <v>22</v>
      </c>
      <c r="J13" s="337" t="s">
        <v>22</v>
      </c>
      <c r="K13" s="226" t="s">
        <v>1054</v>
      </c>
      <c r="V13" s="441">
        <v>0</v>
      </c>
    </row>
    <row r="14" spans="1:22" ht="15" hidden="1" customHeight="1">
      <c r="B14" s="2671"/>
      <c r="C14" s="2672"/>
      <c r="D14" s="625" t="str">
        <f>B13&amp;".2"</f>
        <v>.2</v>
      </c>
      <c r="E14" s="626" t="s">
        <v>1055</v>
      </c>
      <c r="F14" s="627" t="s">
        <v>305</v>
      </c>
      <c r="G14" s="1647" t="s">
        <v>22</v>
      </c>
      <c r="H14" s="337" t="s">
        <v>22</v>
      </c>
      <c r="I14" s="1647" t="s">
        <v>22</v>
      </c>
      <c r="J14" s="337" t="s">
        <v>22</v>
      </c>
      <c r="K14" s="226" t="s">
        <v>1056</v>
      </c>
      <c r="V14" s="441">
        <v>0</v>
      </c>
    </row>
    <row r="15" spans="1:22" s="2357" customFormat="1" ht="15" hidden="1" customHeight="1">
      <c r="C15" s="608"/>
      <c r="U15" s="356"/>
      <c r="V15" s="353">
        <v>0</v>
      </c>
    </row>
    <row r="16" spans="1:22" s="2357" customFormat="1" ht="15" hidden="1" customHeight="1">
      <c r="C16" s="608"/>
      <c r="U16" s="356"/>
      <c r="V16" s="353">
        <v>0</v>
      </c>
    </row>
    <row r="17" spans="1:22" s="2357" customFormat="1" ht="15" hidden="1" customHeight="1">
      <c r="C17" s="608"/>
      <c r="U17" s="356"/>
      <c r="V17" s="353">
        <v>0</v>
      </c>
    </row>
    <row r="18" spans="1:22" s="2357" customFormat="1" ht="15" hidden="1" customHeight="1">
      <c r="C18" s="608"/>
      <c r="U18" s="356"/>
      <c r="V18" s="353">
        <v>0</v>
      </c>
    </row>
    <row r="19" spans="1:22" s="2357" customFormat="1" ht="15" hidden="1" customHeight="1">
      <c r="C19" s="608"/>
      <c r="U19" s="356"/>
      <c r="V19" s="353">
        <v>0</v>
      </c>
    </row>
    <row r="20" spans="1:22" s="2357"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44"/>
      <c r="F22" s="2544"/>
      <c r="G22" s="2544"/>
      <c r="H22" s="2544"/>
      <c r="I22" s="2544"/>
      <c r="J22" s="612"/>
      <c r="K22" s="473"/>
      <c r="V22" s="441">
        <v>22</v>
      </c>
    </row>
    <row r="23" spans="1:22" ht="15.75" customHeight="1">
      <c r="C23" s="113"/>
      <c r="D23" s="2516" t="str">
        <f>IF(org=0,"Не определено",org)</f>
        <v>ООО "Пятигорсктеплосервис"</v>
      </c>
      <c r="E23" s="2516"/>
      <c r="F23" s="2516"/>
      <c r="G23" s="2516"/>
      <c r="H23" s="2516"/>
      <c r="I23" s="2516"/>
      <c r="J23" s="612"/>
      <c r="K23" s="473"/>
      <c r="V23" s="441">
        <v>15</v>
      </c>
    </row>
    <row r="24" spans="1:22" ht="15.75" customHeight="1">
      <c r="C24" s="113"/>
      <c r="D24" s="445"/>
      <c r="E24" s="445"/>
      <c r="F24" s="445"/>
      <c r="G24" s="473">
        <v>22</v>
      </c>
      <c r="H24" s="688"/>
      <c r="I24" s="473">
        <v>22</v>
      </c>
      <c r="J24" s="688"/>
      <c r="V24" s="441">
        <v>15</v>
      </c>
    </row>
    <row r="25" spans="1:22" s="2360"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658" t="s">
        <v>105</v>
      </c>
      <c r="F26" s="2659"/>
      <c r="G26" s="2673" t="str">
        <f>IF(G25="","",INDEX(DIFFERENTIATION_UNMERGE_VD,MATCH(G25,DIFFERENTIATION_ID_DIFF,0)))</f>
        <v/>
      </c>
      <c r="H26" s="2674"/>
      <c r="I26" s="2673" t="str">
        <f>IF(I25="","",INDEX(DIFFERENTIATION_UNMERGE_VD,MATCH(I25,DIFFERENTIATION_ID_DIFF,0)))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6" s="2674"/>
      <c r="K26" s="2494" t="s">
        <v>300</v>
      </c>
      <c r="V26" s="441">
        <v>15</v>
      </c>
    </row>
    <row r="27" spans="1:22" s="2360" customFormat="1" ht="15.75" customHeight="1">
      <c r="A27" s="693"/>
      <c r="C27" s="113"/>
      <c r="D27" s="647"/>
      <c r="E27" s="2658" t="s">
        <v>563</v>
      </c>
      <c r="F27" s="2659"/>
      <c r="G27" s="2673" t="str">
        <f>IF(G25="","",INDEX(DIFFERENTIATION_UNMERGE_AREA,MATCH(G25,DIFFERENTIATION_ID_DIFF,0)))</f>
        <v/>
      </c>
      <c r="H27" s="2674"/>
      <c r="I27" s="2673" t="str">
        <f>IF(I25="","",INDEX(DIFFERENTIATION_UNMERGE_AREA,MATCH(I25,DIFFERENTIATION_ID_DIFF,0)))</f>
        <v>без дифференциации</v>
      </c>
      <c r="J27" s="2674"/>
      <c r="K27" s="2498"/>
      <c r="U27" s="611"/>
      <c r="V27" s="692">
        <v>15</v>
      </c>
    </row>
    <row r="28" spans="1:22" s="2360" customFormat="1" ht="15.75" customHeight="1">
      <c r="A28" s="693"/>
      <c r="C28" s="113"/>
      <c r="D28" s="647"/>
      <c r="E28" s="2658" t="s">
        <v>564</v>
      </c>
      <c r="F28" s="2659"/>
      <c r="G28" s="2673" t="str">
        <f>IF(G25="","",INDEX(DIFFERENTIATION_UNMERGE_SYSTEM,MATCH(G25,DIFFERENTIATION_ID_DIFF,0)))</f>
        <v/>
      </c>
      <c r="H28" s="2674"/>
      <c r="I28" s="2673" t="str">
        <f>IF(I25="","",INDEX(DIFFERENTIATION_UNMERGE_SYSTEM,MATCH(I25,DIFFERENTIATION_ID_DIFF,0)))</f>
        <v>без дифференциации</v>
      </c>
      <c r="J28" s="2674"/>
      <c r="K28" s="2498"/>
      <c r="U28" s="611"/>
      <c r="V28" s="692">
        <v>15</v>
      </c>
    </row>
    <row r="29" spans="1:22" s="2360" customFormat="1" ht="15.75" customHeight="1">
      <c r="A29" s="693"/>
      <c r="C29" s="113"/>
      <c r="D29" s="2660" t="s">
        <v>299</v>
      </c>
      <c r="E29" s="2661"/>
      <c r="F29" s="2661"/>
      <c r="G29" s="812"/>
      <c r="H29" s="812"/>
      <c r="I29" s="812"/>
      <c r="J29" s="813"/>
      <c r="K29" s="2498"/>
      <c r="U29" s="611"/>
      <c r="V29" s="692">
        <v>15</v>
      </c>
    </row>
    <row r="30" spans="1:22" ht="35.65" customHeight="1">
      <c r="C30" s="113"/>
      <c r="D30" s="695" t="s">
        <v>88</v>
      </c>
      <c r="E30" s="694" t="s">
        <v>301</v>
      </c>
      <c r="F30" s="694" t="s">
        <v>565</v>
      </c>
      <c r="G30" s="738" t="s">
        <v>302</v>
      </c>
      <c r="H30" s="737" t="s">
        <v>389</v>
      </c>
      <c r="I30" s="620" t="s">
        <v>302</v>
      </c>
      <c r="J30" s="401" t="s">
        <v>389</v>
      </c>
      <c r="K30" s="2501"/>
      <c r="V30" s="441">
        <v>34</v>
      </c>
    </row>
    <row r="31" spans="1:22" ht="15" hidden="1" customHeight="1">
      <c r="C31" s="113"/>
      <c r="D31" s="529"/>
      <c r="E31" s="529"/>
      <c r="F31" s="529"/>
      <c r="G31" s="595"/>
      <c r="H31" s="595"/>
      <c r="I31" s="595"/>
      <c r="J31" s="595"/>
      <c r="K31" s="226"/>
      <c r="V31" s="441">
        <v>0</v>
      </c>
    </row>
    <row r="32" spans="1:22" ht="24" customHeight="1">
      <c r="A32" s="441"/>
      <c r="B32" s="441" t="s">
        <v>1057</v>
      </c>
      <c r="C32" s="462"/>
      <c r="D32" s="628">
        <v>1</v>
      </c>
      <c r="E32" s="629" t="s">
        <v>1058</v>
      </c>
      <c r="F32" s="627" t="s">
        <v>305</v>
      </c>
      <c r="G32" s="743" t="s">
        <v>305</v>
      </c>
      <c r="H32" s="743" t="s">
        <v>305</v>
      </c>
      <c r="I32" s="627" t="s">
        <v>305</v>
      </c>
      <c r="J32" s="627" t="s">
        <v>305</v>
      </c>
      <c r="K32" s="226"/>
      <c r="V32" s="441">
        <v>23</v>
      </c>
    </row>
    <row r="33" spans="1:22" ht="11.45" customHeight="1">
      <c r="A33" s="441"/>
      <c r="C33" s="441"/>
      <c r="D33" s="284"/>
      <c r="E33" s="516" t="s">
        <v>671</v>
      </c>
      <c r="F33" s="508"/>
      <c r="G33" s="508"/>
      <c r="H33" s="508"/>
      <c r="I33" s="508"/>
      <c r="J33" s="508"/>
      <c r="K33" s="509"/>
      <c r="U33" s="441"/>
      <c r="V33" s="441">
        <v>11</v>
      </c>
    </row>
    <row r="34" spans="1:22" ht="24" customHeight="1">
      <c r="A34" s="441"/>
      <c r="B34" s="517" t="s">
        <v>723</v>
      </c>
      <c r="C34" s="462"/>
      <c r="D34" s="628">
        <v>2</v>
      </c>
      <c r="E34" s="629" t="s">
        <v>1059</v>
      </c>
      <c r="F34" s="750" t="s">
        <v>305</v>
      </c>
      <c r="G34" s="750" t="s">
        <v>305</v>
      </c>
      <c r="H34" s="750" t="s">
        <v>305</v>
      </c>
      <c r="I34" s="627"/>
      <c r="J34" s="627"/>
      <c r="K34" s="226"/>
      <c r="V34" s="441">
        <v>23</v>
      </c>
    </row>
    <row r="35" spans="1:22" ht="11.45" customHeight="1">
      <c r="A35" s="441"/>
      <c r="C35" s="441"/>
      <c r="D35" s="284"/>
      <c r="E35" s="516" t="s">
        <v>1060</v>
      </c>
      <c r="F35" s="508"/>
      <c r="G35" s="630"/>
      <c r="H35" s="508"/>
      <c r="I35" s="630"/>
      <c r="J35" s="508"/>
      <c r="K35" s="509"/>
      <c r="U35" s="441"/>
      <c r="V35" s="441">
        <v>11</v>
      </c>
    </row>
    <row r="36" spans="1:22" ht="71.25" customHeight="1">
      <c r="A36" s="441"/>
      <c r="B36" s="441" t="s">
        <v>1061</v>
      </c>
      <c r="C36" s="462"/>
      <c r="D36" s="628">
        <v>3</v>
      </c>
      <c r="E36" s="629" t="s">
        <v>1062</v>
      </c>
      <c r="F36" s="631" t="s">
        <v>305</v>
      </c>
      <c r="G36" s="744" t="s">
        <v>1063</v>
      </c>
      <c r="H36" s="743" t="s">
        <v>305</v>
      </c>
      <c r="I36" s="460" t="s">
        <v>1063</v>
      </c>
      <c r="J36" s="627" t="s">
        <v>305</v>
      </c>
      <c r="K36" s="226" t="s">
        <v>1064</v>
      </c>
      <c r="V36" s="441">
        <v>68</v>
      </c>
    </row>
    <row r="37" spans="1:22" ht="11.45" customHeight="1">
      <c r="A37" s="441"/>
      <c r="C37" s="441"/>
      <c r="D37" s="284"/>
      <c r="E37" s="516" t="s">
        <v>1065</v>
      </c>
      <c r="F37" s="508"/>
      <c r="G37" s="630"/>
      <c r="H37" s="630"/>
      <c r="I37" s="630"/>
      <c r="J37" s="630"/>
      <c r="K37" s="509"/>
      <c r="U37" s="441"/>
      <c r="V37" s="441">
        <v>11</v>
      </c>
    </row>
    <row r="38" spans="1:22" ht="71.25" customHeight="1">
      <c r="A38" s="441"/>
      <c r="B38" s="441" t="s">
        <v>1066</v>
      </c>
      <c r="C38" s="462"/>
      <c r="D38" s="628">
        <v>4</v>
      </c>
      <c r="E38" s="629" t="s">
        <v>1067</v>
      </c>
      <c r="F38" s="631" t="s">
        <v>305</v>
      </c>
      <c r="G38" s="744" t="s">
        <v>1063</v>
      </c>
      <c r="H38" s="745" t="s">
        <v>305</v>
      </c>
      <c r="I38" s="460" t="s">
        <v>1063</v>
      </c>
      <c r="J38" s="457" t="s">
        <v>305</v>
      </c>
      <c r="K38" s="615" t="s">
        <v>1068</v>
      </c>
      <c r="V38" s="441">
        <v>68</v>
      </c>
    </row>
    <row r="39" spans="1:22" ht="11.45" customHeight="1">
      <c r="A39" s="441"/>
      <c r="C39" s="441"/>
      <c r="D39" s="284"/>
      <c r="E39" s="516" t="s">
        <v>1069</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8"/>
  <sheetViews>
    <sheetView showGridLines="0" zoomScale="85" workbookViewId="0">
      <pane xSplit="7" ySplit="10" topLeftCell="Q13" activePane="bottomRight" state="frozen"/>
      <selection pane="topRight" activeCell="H1" sqref="H1"/>
      <selection pane="bottomLeft" activeCell="A11" sqref="A11"/>
      <selection pane="bottomRight" activeCell="W13" sqref="W13:W14"/>
    </sheetView>
  </sheetViews>
  <sheetFormatPr defaultColWidth="9.140625" defaultRowHeight="10.5" customHeight="1"/>
  <cols>
    <col min="1" max="3" width="6.7109375" style="2347" hidden="1" customWidth="1"/>
    <col min="4" max="4" width="6.7109375" style="2357" hidden="1" customWidth="1"/>
    <col min="5" max="5" width="3" style="2360" customWidth="1"/>
    <col min="6" max="6" width="6" style="2360" customWidth="1"/>
    <col min="7" max="7" width="37" style="2360" customWidth="1"/>
    <col min="8" max="8" width="16" style="2360" customWidth="1"/>
    <col min="9" max="10" width="19" style="2360" customWidth="1"/>
    <col min="11" max="11" width="24" style="2360" customWidth="1"/>
    <col min="12" max="13" width="25" style="2360" customWidth="1"/>
    <col min="14" max="16" width="17" style="2360" customWidth="1"/>
    <col min="17" max="24" width="19" style="2360" customWidth="1"/>
    <col min="25" max="25" width="7" style="2360" customWidth="1"/>
    <col min="26" max="26" width="3" style="2360" customWidth="1"/>
    <col min="27" max="27" width="6" style="2360" customWidth="1"/>
    <col min="28" max="28" width="34" style="2360" customWidth="1"/>
    <col min="29" max="30" width="8" style="2360" customWidth="1"/>
    <col min="31" max="31" width="9.140625" style="2360" hidden="1"/>
  </cols>
  <sheetData>
    <row r="1" spans="1:31" s="2357" customFormat="1" ht="10.5" hidden="1" customHeight="1">
      <c r="A1" s="820"/>
      <c r="B1" s="820"/>
      <c r="C1" s="820"/>
      <c r="E1" s="473"/>
      <c r="H1" s="1076"/>
      <c r="AE1" s="353" t="s">
        <v>14</v>
      </c>
    </row>
    <row r="2" spans="1:31" ht="10.5" hidden="1" customHeight="1">
      <c r="AE2" s="692">
        <v>0</v>
      </c>
    </row>
    <row r="3" spans="1:31" s="2370" customFormat="1" ht="10.5" hidden="1" customHeight="1">
      <c r="A3" s="820"/>
      <c r="B3" s="820"/>
      <c r="C3" s="820"/>
      <c r="D3" s="353"/>
      <c r="E3" s="298"/>
      <c r="G3" s="1548" t="s">
        <v>1070</v>
      </c>
      <c r="H3" s="1072"/>
      <c r="AE3" s="693">
        <v>0</v>
      </c>
    </row>
    <row r="4" spans="1:31" ht="3" customHeight="1">
      <c r="AE4" s="692">
        <v>3</v>
      </c>
    </row>
    <row r="5" spans="1:31" ht="27.4" customHeight="1">
      <c r="F5" s="25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4"/>
      <c r="H5" s="2544"/>
      <c r="I5" s="2544"/>
      <c r="J5" s="2544"/>
      <c r="K5" s="2544"/>
      <c r="M5" s="518"/>
      <c r="AB5" s="831"/>
      <c r="AE5" s="692">
        <v>26</v>
      </c>
    </row>
    <row r="6" spans="1:31" s="2360" customFormat="1" ht="16.899999999999999" customHeight="1">
      <c r="A6" s="1082"/>
      <c r="B6" s="1082"/>
      <c r="C6" s="1082"/>
      <c r="D6" s="1076"/>
      <c r="E6" s="1551"/>
      <c r="F6" s="2516" t="str">
        <f>IF(org=0,"Не определено",org)</f>
        <v>ООО "Пятигорсктеплосервис"</v>
      </c>
      <c r="G6" s="2516"/>
      <c r="H6" s="2516"/>
      <c r="I6" s="2516"/>
      <c r="J6" s="2516"/>
      <c r="K6" s="2516"/>
      <c r="M6" s="518"/>
      <c r="AB6" s="1065"/>
      <c r="AE6" s="1547">
        <v>16</v>
      </c>
    </row>
    <row r="7" spans="1:31" ht="10.5" customHeight="1">
      <c r="AE7" s="692">
        <v>10</v>
      </c>
    </row>
    <row r="8" spans="1:31" ht="10.5" customHeight="1">
      <c r="A8" s="973"/>
      <c r="B8" s="973"/>
      <c r="C8" s="973"/>
      <c r="F8" s="2417" t="s">
        <v>299</v>
      </c>
      <c r="G8" s="2422"/>
      <c r="H8" s="2422"/>
      <c r="I8" s="2422"/>
      <c r="J8" s="2422"/>
      <c r="K8" s="2422"/>
      <c r="L8" s="2422"/>
      <c r="M8" s="2422"/>
      <c r="N8" s="2422"/>
      <c r="O8" s="2422"/>
      <c r="P8" s="2422"/>
      <c r="Q8" s="2422"/>
      <c r="R8" s="2422"/>
      <c r="S8" s="2422"/>
      <c r="T8" s="2422"/>
      <c r="U8" s="2422"/>
      <c r="V8" s="2422"/>
      <c r="W8" s="2422"/>
      <c r="X8" s="2422"/>
      <c r="Y8" s="2422"/>
      <c r="Z8" s="2422"/>
      <c r="AA8" s="2422"/>
      <c r="AB8" s="2416"/>
      <c r="AE8" s="692">
        <v>10</v>
      </c>
    </row>
    <row r="9" spans="1:31" ht="43.15" customHeight="1">
      <c r="A9" s="830"/>
      <c r="B9" s="830"/>
      <c r="C9" s="830"/>
      <c r="F9" s="2435" t="s">
        <v>88</v>
      </c>
      <c r="G9" s="2435" t="s">
        <v>1070</v>
      </c>
      <c r="H9" s="2494" t="s">
        <v>1071</v>
      </c>
      <c r="I9" s="2435" t="s">
        <v>1072</v>
      </c>
      <c r="J9" s="2435" t="s">
        <v>1073</v>
      </c>
      <c r="K9" s="2435" t="s">
        <v>1074</v>
      </c>
      <c r="L9" s="2435" t="s">
        <v>1075</v>
      </c>
      <c r="M9" s="2435" t="s">
        <v>1076</v>
      </c>
      <c r="N9" s="2524" t="s">
        <v>1077</v>
      </c>
      <c r="O9" s="2524"/>
      <c r="P9" s="2524"/>
      <c r="Q9" s="2577" t="s">
        <v>1078</v>
      </c>
      <c r="R9" s="2578"/>
      <c r="S9" s="2578"/>
      <c r="T9" s="2579"/>
      <c r="U9" s="2577" t="s">
        <v>1079</v>
      </c>
      <c r="V9" s="2578"/>
      <c r="W9" s="2578"/>
      <c r="X9" s="2579"/>
      <c r="Y9" s="2417" t="s">
        <v>1080</v>
      </c>
      <c r="Z9" s="2422"/>
      <c r="AA9" s="2422"/>
      <c r="AB9" s="2416"/>
      <c r="AE9" s="692">
        <v>41</v>
      </c>
    </row>
    <row r="10" spans="1:31" ht="43.15" customHeight="1">
      <c r="A10" s="830"/>
      <c r="B10" s="830"/>
      <c r="C10" s="830"/>
      <c r="F10" s="2494"/>
      <c r="G10" s="2494"/>
      <c r="H10" s="2549"/>
      <c r="I10" s="2494"/>
      <c r="J10" s="2494"/>
      <c r="K10" s="2494"/>
      <c r="L10" s="2494"/>
      <c r="M10" s="2494"/>
      <c r="N10" s="828" t="s">
        <v>1081</v>
      </c>
      <c r="O10" s="828" t="s">
        <v>1082</v>
      </c>
      <c r="P10" s="829" t="s">
        <v>1083</v>
      </c>
      <c r="Q10" s="840" t="s">
        <v>89</v>
      </c>
      <c r="R10" s="840" t="s">
        <v>1084</v>
      </c>
      <c r="S10" s="840" t="s">
        <v>1085</v>
      </c>
      <c r="T10" s="841" t="s">
        <v>1086</v>
      </c>
      <c r="U10" s="840" t="s">
        <v>89</v>
      </c>
      <c r="V10" s="840" t="s">
        <v>1087</v>
      </c>
      <c r="W10" s="840" t="s">
        <v>1085</v>
      </c>
      <c r="X10" s="841" t="s">
        <v>1086</v>
      </c>
      <c r="Y10" s="238" t="s">
        <v>1088</v>
      </c>
      <c r="Z10" s="2417" t="s">
        <v>88</v>
      </c>
      <c r="AA10" s="2416"/>
      <c r="AB10" s="971" t="s">
        <v>1089</v>
      </c>
      <c r="AE10" s="692">
        <v>41</v>
      </c>
    </row>
    <row r="11" spans="1:31" s="2344" customFormat="1" ht="5.25" hidden="1" customHeight="1">
      <c r="A11" s="974"/>
      <c r="B11" s="974"/>
      <c r="C11" s="974"/>
      <c r="E11" s="972"/>
      <c r="F11" s="2677" t="s">
        <v>375</v>
      </c>
      <c r="G11" s="2679"/>
      <c r="H11" s="2675"/>
      <c r="I11" s="2675"/>
      <c r="J11" s="2675"/>
      <c r="K11" s="2678"/>
      <c r="L11" s="2678"/>
      <c r="M11" s="2678"/>
      <c r="N11" s="2675"/>
      <c r="O11" s="2675"/>
      <c r="P11" s="2435"/>
      <c r="Q11" s="2504"/>
      <c r="R11" s="2504"/>
      <c r="S11" s="2504"/>
      <c r="T11" s="2675"/>
      <c r="U11" s="2504"/>
      <c r="V11" s="2504"/>
      <c r="W11" s="2504"/>
      <c r="X11" s="2675"/>
      <c r="Y11" s="2446"/>
      <c r="Z11" s="2446"/>
      <c r="AA11" s="2446"/>
      <c r="AB11" s="2446"/>
      <c r="AD11" s="447" t="s">
        <v>1090</v>
      </c>
      <c r="AE11" s="447">
        <v>0</v>
      </c>
    </row>
    <row r="12" spans="1:31" s="2344" customFormat="1" ht="5.25" hidden="1" customHeight="1">
      <c r="A12" s="821"/>
      <c r="B12" s="821"/>
      <c r="C12" s="821"/>
      <c r="E12" s="454"/>
      <c r="F12" s="2677"/>
      <c r="G12" s="2679"/>
      <c r="H12" s="2675"/>
      <c r="I12" s="2675"/>
      <c r="J12" s="2675"/>
      <c r="K12" s="2678"/>
      <c r="L12" s="2678"/>
      <c r="M12" s="2678"/>
      <c r="N12" s="2675"/>
      <c r="O12" s="2675"/>
      <c r="P12" s="2435"/>
      <c r="Q12" s="2504"/>
      <c r="R12" s="2504"/>
      <c r="S12" s="2504"/>
      <c r="T12" s="2675"/>
      <c r="U12" s="2504"/>
      <c r="V12" s="2504"/>
      <c r="W12" s="2504"/>
      <c r="X12" s="2675"/>
      <c r="Y12" s="2676"/>
      <c r="Z12" s="2676"/>
      <c r="AA12" s="2676"/>
      <c r="AB12" s="2676"/>
      <c r="AE12" s="447">
        <v>0</v>
      </c>
    </row>
    <row r="13" spans="1:31" ht="27" customHeight="1">
      <c r="A13" s="1082"/>
      <c r="B13" s="1082"/>
      <c r="C13" s="1082"/>
      <c r="D13" s="1076"/>
      <c r="E13" s="2695" t="s">
        <v>568</v>
      </c>
      <c r="F13" s="2680" t="s">
        <v>109</v>
      </c>
      <c r="G13" s="2681" t="s">
        <v>1091</v>
      </c>
      <c r="H13" s="2682" t="s">
        <v>62</v>
      </c>
      <c r="I13" s="2684">
        <v>43661.580069444448</v>
      </c>
      <c r="J13" s="2686">
        <v>45216.580347222225</v>
      </c>
      <c r="K13" s="2688" t="s">
        <v>1092</v>
      </c>
      <c r="L13" s="2689" t="s">
        <v>1093</v>
      </c>
      <c r="M13" s="2689" t="s">
        <v>1094</v>
      </c>
      <c r="N13" s="2693" t="s">
        <v>1095</v>
      </c>
      <c r="O13" s="2693" t="s">
        <v>1096</v>
      </c>
      <c r="P13" s="2694" t="str">
        <f>DATEDIF(DATEVALUE(N13),DATEVALUE(O13),"y")&amp;"г. "&amp;DATEDIF(DATEVALUE(N13),DATEVALUE(O13),"ym")&amp;"мес. "&amp;DATEVALUE(O13)-DATE(YEAR(DATEVALUE(O13)),MONTH(DATEVALUE(O13)),1)&amp;"дн. "</f>
        <v xml:space="preserve">3г. 11мес. 30дн. </v>
      </c>
      <c r="Q13" s="2690" t="s">
        <v>1097</v>
      </c>
      <c r="R13" s="2690" t="s">
        <v>1098</v>
      </c>
      <c r="S13" s="2690" t="s">
        <v>1099</v>
      </c>
      <c r="T13" s="2686" t="s">
        <v>1100</v>
      </c>
      <c r="U13" s="2690" t="s">
        <v>1101</v>
      </c>
      <c r="V13" s="2690" t="s">
        <v>1098</v>
      </c>
      <c r="W13" s="2690">
        <v>1757</v>
      </c>
      <c r="X13" s="2686">
        <v>45216</v>
      </c>
      <c r="Y13" s="2691" t="s">
        <v>19</v>
      </c>
      <c r="Z13" s="1722"/>
      <c r="AA13" s="1706">
        <v>1</v>
      </c>
      <c r="AB13" s="2056" t="s">
        <v>22</v>
      </c>
      <c r="AC13" s="2057"/>
      <c r="AD13" s="1552" t="s">
        <v>1102</v>
      </c>
      <c r="AE13" s="2057"/>
    </row>
    <row r="14" spans="1:31" ht="206.25" customHeight="1">
      <c r="A14" s="1082"/>
      <c r="B14" s="1082"/>
      <c r="C14" s="1082"/>
      <c r="D14" s="1076"/>
      <c r="E14" s="2696"/>
      <c r="F14" s="2680" t="s">
        <v>375</v>
      </c>
      <c r="G14" s="2681"/>
      <c r="H14" s="2683"/>
      <c r="I14" s="2685"/>
      <c r="J14" s="2687"/>
      <c r="K14" s="2688"/>
      <c r="L14" s="2689"/>
      <c r="M14" s="2689"/>
      <c r="N14" s="2693"/>
      <c r="O14" s="2693"/>
      <c r="P14" s="2694"/>
      <c r="Q14" s="2690"/>
      <c r="R14" s="2690"/>
      <c r="S14" s="2690"/>
      <c r="T14" s="2687"/>
      <c r="U14" s="2690"/>
      <c r="V14" s="2690"/>
      <c r="W14" s="2690"/>
      <c r="X14" s="2687"/>
      <c r="Y14" s="2692"/>
      <c r="Z14" s="284"/>
      <c r="AA14" s="508"/>
      <c r="AB14" s="588" t="s">
        <v>1103</v>
      </c>
      <c r="AC14" s="2057"/>
      <c r="AD14" s="2057"/>
      <c r="AE14" s="2057"/>
    </row>
    <row r="15" spans="1:31" ht="10.5" customHeight="1">
      <c r="F15" s="827"/>
      <c r="G15" s="586" t="s">
        <v>1104</v>
      </c>
      <c r="H15" s="1084"/>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344" customFormat="1" ht="10.5" customHeight="1">
      <c r="A17" s="1083"/>
      <c r="B17" s="1083"/>
      <c r="C17" s="1083"/>
      <c r="E17" s="454"/>
      <c r="H17" s="447">
        <f>IFERROR(MATCH("нет",IP_MAIN_DIFFERENTIATION_EVENTS_FLAG,0),0)</f>
        <v>0</v>
      </c>
      <c r="AE17" s="447">
        <v>10</v>
      </c>
    </row>
    <row r="18" spans="1:31" ht="10.5" hidden="1" customHeight="1">
      <c r="A18" s="820" t="s">
        <v>82</v>
      </c>
      <c r="B18" s="820">
        <v>0</v>
      </c>
      <c r="C18" s="820">
        <v>0</v>
      </c>
      <c r="D18" s="353">
        <v>0</v>
      </c>
      <c r="E18" s="445">
        <v>3</v>
      </c>
      <c r="F18" s="692">
        <v>6</v>
      </c>
      <c r="G18" s="692">
        <v>37</v>
      </c>
      <c r="H18" s="1071">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80"/>
  <sheetViews>
    <sheetView showGridLines="0" zoomScale="90" workbookViewId="0">
      <pane xSplit="8" ySplit="12" topLeftCell="U25" activePane="bottomRight" state="frozen"/>
      <selection pane="topRight" activeCell="I1" sqref="I1"/>
      <selection pane="bottomLeft" activeCell="A13" sqref="A13"/>
      <selection pane="bottomRight" activeCell="AE25" sqref="AE25"/>
    </sheetView>
  </sheetViews>
  <sheetFormatPr defaultColWidth="9.140625" defaultRowHeight="10.5" customHeight="1"/>
  <cols>
    <col min="1" max="3" width="4.140625" style="2347" hidden="1" customWidth="1"/>
    <col min="4" max="4" width="4.140625" style="2357" hidden="1" customWidth="1"/>
    <col min="5" max="5" width="3" style="2360" customWidth="1"/>
    <col min="6" max="6" width="14" style="2360" customWidth="1"/>
    <col min="7" max="7" width="3" style="2360" customWidth="1"/>
    <col min="8" max="8" width="7" style="2360" customWidth="1"/>
    <col min="9" max="10" width="16" style="2360" hidden="1" customWidth="1"/>
    <col min="11" max="11" width="25" style="2360" customWidth="1"/>
    <col min="12" max="12" width="7" style="2360" customWidth="1"/>
    <col min="13" max="13" width="15" style="2360" customWidth="1"/>
    <col min="14" max="14" width="3" style="2360" customWidth="1"/>
    <col min="15" max="15" width="4" style="2360" customWidth="1"/>
    <col min="16" max="16" width="8" style="2360" customWidth="1"/>
    <col min="17" max="17" width="21" style="2360" customWidth="1"/>
    <col min="18" max="18" width="14" style="2360" customWidth="1"/>
    <col min="19" max="20" width="17" style="2360" customWidth="1"/>
    <col min="21" max="21" width="9" style="2360" customWidth="1"/>
    <col min="22" max="22" width="12" style="2360" customWidth="1"/>
    <col min="23" max="23" width="9" style="2360" customWidth="1"/>
    <col min="24" max="24" width="21" style="2360" customWidth="1"/>
    <col min="25" max="25" width="12" style="2360" customWidth="1"/>
    <col min="26" max="26" width="3" style="2360" customWidth="1"/>
    <col min="27" max="27" width="6" style="2360" customWidth="1"/>
    <col min="28" max="28" width="38" style="2360" customWidth="1"/>
    <col min="29" max="29" width="15" style="2360" customWidth="1"/>
    <col min="30" max="30" width="37.5703125" style="2360" customWidth="1"/>
    <col min="31" max="31" width="15.7109375" style="2360" customWidth="1"/>
    <col min="32" max="34" width="16" style="2360" customWidth="1"/>
    <col min="35" max="37" width="16.7109375" style="2360" customWidth="1"/>
    <col min="38" max="58" width="8" style="2360" customWidth="1"/>
    <col min="59" max="59" width="9.140625" style="2360" hidden="1"/>
  </cols>
  <sheetData>
    <row r="1" spans="1:59" s="2357" customFormat="1" ht="10.5" hidden="1" customHeight="1">
      <c r="A1" s="820"/>
      <c r="B1" s="820"/>
      <c r="C1" s="820"/>
      <c r="E1" s="473"/>
      <c r="H1" s="1076"/>
      <c r="L1" s="1045"/>
      <c r="M1" s="1045"/>
      <c r="AD1" s="1045"/>
      <c r="AH1" s="1064"/>
      <c r="AI1" s="1057"/>
      <c r="BG1" s="353" t="s">
        <v>14</v>
      </c>
    </row>
    <row r="2" spans="1:59" ht="10.5" hidden="1" customHeight="1">
      <c r="BG2" s="692">
        <v>0</v>
      </c>
    </row>
    <row r="3" spans="1:59" s="2370" customFormat="1" ht="10.5" hidden="1" customHeight="1">
      <c r="A3" s="820"/>
      <c r="B3" s="820"/>
      <c r="C3" s="820"/>
      <c r="D3" s="353"/>
      <c r="E3" s="298"/>
      <c r="H3" s="1072"/>
      <c r="L3" s="1043"/>
      <c r="M3" s="1043"/>
      <c r="AD3" s="1043"/>
      <c r="AH3" s="1062"/>
      <c r="AI3" s="1055"/>
      <c r="BG3" s="693">
        <v>0</v>
      </c>
    </row>
    <row r="4" spans="1:59" ht="3" customHeight="1">
      <c r="BG4" s="692">
        <v>3</v>
      </c>
    </row>
    <row r="5" spans="1:59" ht="27.4" customHeight="1">
      <c r="F5" s="25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4"/>
      <c r="H5" s="2544"/>
      <c r="I5" s="2544"/>
      <c r="J5" s="2544"/>
      <c r="K5" s="2544"/>
      <c r="L5" s="1052"/>
      <c r="M5" s="1052"/>
      <c r="AG5" s="831"/>
      <c r="AH5" s="1065"/>
      <c r="BG5" s="692">
        <v>26</v>
      </c>
    </row>
    <row r="6" spans="1:59" ht="10.5" customHeight="1">
      <c r="F6" s="2516" t="str">
        <f>IF(org=0,"Не определено",org)</f>
        <v>ООО "Пятигорсктеплосервис"</v>
      </c>
      <c r="G6" s="2516"/>
      <c r="H6" s="2516"/>
      <c r="I6" s="2516"/>
      <c r="J6" s="2516"/>
      <c r="K6" s="2516"/>
      <c r="L6" s="1053"/>
      <c r="M6" s="1053"/>
      <c r="BG6" s="692">
        <v>10</v>
      </c>
    </row>
    <row r="7" spans="1:59" ht="11.45" customHeight="1">
      <c r="E7" s="833"/>
      <c r="F7" s="844"/>
      <c r="G7" s="844"/>
      <c r="H7" s="1100"/>
      <c r="I7" s="844"/>
      <c r="J7" s="844"/>
      <c r="K7" s="846"/>
      <c r="L7" s="1050"/>
      <c r="M7" s="1050"/>
      <c r="N7" s="844"/>
      <c r="O7" s="844"/>
      <c r="P7" s="844"/>
      <c r="Q7" s="846"/>
      <c r="R7" s="844"/>
      <c r="S7" s="844"/>
      <c r="T7" s="844"/>
      <c r="U7" s="844"/>
      <c r="V7" s="844"/>
      <c r="W7" s="844"/>
      <c r="X7" s="844"/>
      <c r="Y7" s="844"/>
      <c r="Z7" s="844"/>
      <c r="AA7" s="844"/>
      <c r="AB7" s="844"/>
      <c r="AC7" s="845"/>
      <c r="AD7" s="1049"/>
      <c r="AE7" s="845"/>
      <c r="AF7" s="844"/>
      <c r="AG7" s="844"/>
      <c r="AH7" s="1067"/>
      <c r="AI7" s="1060"/>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99" t="s">
        <v>299</v>
      </c>
      <c r="G8" s="2700"/>
      <c r="H8" s="2700"/>
      <c r="I8" s="2700"/>
      <c r="J8" s="2700"/>
      <c r="K8" s="2700"/>
      <c r="L8" s="2700"/>
      <c r="M8" s="2700"/>
      <c r="N8" s="2700"/>
      <c r="O8" s="2700"/>
      <c r="P8" s="2700"/>
      <c r="Q8" s="2700"/>
      <c r="R8" s="2700"/>
      <c r="S8" s="2700"/>
      <c r="T8" s="2700"/>
      <c r="U8" s="2700"/>
      <c r="V8" s="2700"/>
      <c r="W8" s="2700"/>
      <c r="X8" s="2700"/>
      <c r="Y8" s="2700"/>
      <c r="Z8" s="2700"/>
      <c r="AA8" s="2700"/>
      <c r="AB8" s="2700"/>
      <c r="AC8" s="2700"/>
      <c r="AD8" s="2700"/>
      <c r="AE8" s="2700"/>
      <c r="AF8" s="2700"/>
      <c r="AG8" s="2700"/>
      <c r="AH8" s="2700"/>
      <c r="AI8" s="2700"/>
      <c r="AJ8" s="2700"/>
      <c r="AK8" s="2701"/>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524" t="s">
        <v>1105</v>
      </c>
      <c r="G9" s="2625" t="s">
        <v>1106</v>
      </c>
      <c r="H9" s="2664"/>
      <c r="I9" s="2435" t="s">
        <v>1107</v>
      </c>
      <c r="J9" s="2435"/>
      <c r="K9" s="2435" t="s">
        <v>1108</v>
      </c>
      <c r="L9" s="2435"/>
      <c r="M9" s="2435"/>
      <c r="N9" s="2435"/>
      <c r="O9" s="2435"/>
      <c r="P9" s="2435"/>
      <c r="Q9" s="2435"/>
      <c r="R9" s="2435"/>
      <c r="S9" s="2435"/>
      <c r="T9" s="2435"/>
      <c r="U9" s="2435"/>
      <c r="V9" s="2435"/>
      <c r="W9" s="2435"/>
      <c r="X9" s="2435"/>
      <c r="Y9" s="2435"/>
      <c r="Z9" s="2495" t="s">
        <v>1109</v>
      </c>
      <c r="AA9" s="2496"/>
      <c r="AB9" s="2435" t="s">
        <v>1110</v>
      </c>
      <c r="AC9" s="2435"/>
      <c r="AD9" s="2435"/>
      <c r="AE9" s="2435"/>
      <c r="AF9" s="2494" t="s">
        <v>1111</v>
      </c>
      <c r="AG9" s="2435" t="s">
        <v>1112</v>
      </c>
      <c r="AH9" s="2435"/>
      <c r="AI9" s="2494" t="s">
        <v>1113</v>
      </c>
      <c r="AJ9" s="2435" t="s">
        <v>1114</v>
      </c>
      <c r="AK9" s="2435"/>
      <c r="AL9" s="1059"/>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524"/>
      <c r="G10" s="2626"/>
      <c r="H10" s="2528"/>
      <c r="I10" s="2435"/>
      <c r="J10" s="2435"/>
      <c r="K10" s="2435" t="s">
        <v>1115</v>
      </c>
      <c r="L10" s="2417" t="s">
        <v>1116</v>
      </c>
      <c r="M10" s="2416"/>
      <c r="N10" s="2435" t="s">
        <v>1117</v>
      </c>
      <c r="O10" s="2435"/>
      <c r="P10" s="2435"/>
      <c r="Q10" s="2435"/>
      <c r="R10" s="2435"/>
      <c r="S10" s="2435"/>
      <c r="T10" s="2435"/>
      <c r="U10" s="2435"/>
      <c r="V10" s="2435"/>
      <c r="W10" s="2435"/>
      <c r="X10" s="2435"/>
      <c r="Y10" s="2435"/>
      <c r="Z10" s="2497"/>
      <c r="AA10" s="2498"/>
      <c r="AB10" s="2435"/>
      <c r="AC10" s="2435"/>
      <c r="AD10" s="2435"/>
      <c r="AE10" s="2435"/>
      <c r="AF10" s="2499"/>
      <c r="AG10" s="2435"/>
      <c r="AH10" s="2435"/>
      <c r="AI10" s="2499"/>
      <c r="AJ10" s="2435"/>
      <c r="AK10" s="2435"/>
      <c r="AL10" s="1059"/>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360" customFormat="1" ht="25.15" customHeight="1">
      <c r="A11" s="1046"/>
      <c r="B11" s="1046"/>
      <c r="C11" s="1046"/>
      <c r="D11" s="1045"/>
      <c r="E11" s="1047"/>
      <c r="F11" s="2524"/>
      <c r="G11" s="2626"/>
      <c r="H11" s="2528"/>
      <c r="I11" s="2435"/>
      <c r="J11" s="2435"/>
      <c r="K11" s="2435"/>
      <c r="L11" s="2494" t="s">
        <v>1118</v>
      </c>
      <c r="M11" s="2494" t="s">
        <v>1119</v>
      </c>
      <c r="N11" s="2435" t="s">
        <v>1120</v>
      </c>
      <c r="O11" s="2435"/>
      <c r="P11" s="2492" t="s">
        <v>1088</v>
      </c>
      <c r="Q11" s="2492" t="s">
        <v>1121</v>
      </c>
      <c r="R11" s="2492" t="s">
        <v>1122</v>
      </c>
      <c r="S11" s="2492" t="s">
        <v>1123</v>
      </c>
      <c r="T11" s="2492"/>
      <c r="U11" s="2492"/>
      <c r="V11" s="2492"/>
      <c r="W11" s="2492"/>
      <c r="X11" s="2492"/>
      <c r="Y11" s="2492"/>
      <c r="Z11" s="2497"/>
      <c r="AA11" s="2498"/>
      <c r="AB11" s="2435" t="s">
        <v>1124</v>
      </c>
      <c r="AC11" s="2435"/>
      <c r="AD11" s="2417" t="s">
        <v>1125</v>
      </c>
      <c r="AE11" s="2416"/>
      <c r="AF11" s="2499"/>
      <c r="AG11" s="2435"/>
      <c r="AH11" s="2435"/>
      <c r="AI11" s="2499"/>
      <c r="AJ11" s="2435"/>
      <c r="AK11" s="2435"/>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30"/>
      <c r="B12" s="830"/>
      <c r="C12" s="830"/>
      <c r="E12" s="833"/>
      <c r="F12" s="2524"/>
      <c r="G12" s="2627"/>
      <c r="H12" s="2698"/>
      <c r="I12" s="1069" t="s">
        <v>89</v>
      </c>
      <c r="J12" s="1069" t="s">
        <v>1126</v>
      </c>
      <c r="K12" s="2435"/>
      <c r="L12" s="2549"/>
      <c r="M12" s="2549"/>
      <c r="N12" s="2435"/>
      <c r="O12" s="2435"/>
      <c r="P12" s="2492"/>
      <c r="Q12" s="2492"/>
      <c r="R12" s="2492"/>
      <c r="S12" s="1051" t="s">
        <v>86</v>
      </c>
      <c r="T12" s="1051" t="s">
        <v>87</v>
      </c>
      <c r="U12" s="1051" t="s">
        <v>85</v>
      </c>
      <c r="V12" s="1051" t="s">
        <v>1127</v>
      </c>
      <c r="W12" s="1051" t="s">
        <v>85</v>
      </c>
      <c r="X12" s="1051" t="s">
        <v>1128</v>
      </c>
      <c r="Y12" s="1051" t="s">
        <v>1129</v>
      </c>
      <c r="Z12" s="2500"/>
      <c r="AA12" s="2501"/>
      <c r="AB12" s="1058" t="s">
        <v>1130</v>
      </c>
      <c r="AC12" s="1058" t="s">
        <v>1131</v>
      </c>
      <c r="AD12" s="1058" t="s">
        <v>1130</v>
      </c>
      <c r="AE12" s="1058" t="s">
        <v>1131</v>
      </c>
      <c r="AF12" s="2549"/>
      <c r="AG12" s="1070" t="s">
        <v>1132</v>
      </c>
      <c r="AH12" s="1070" t="s">
        <v>1133</v>
      </c>
      <c r="AI12" s="2549"/>
      <c r="AJ12" s="1070" t="s">
        <v>1132</v>
      </c>
      <c r="AK12" s="1070" t="s">
        <v>1133</v>
      </c>
      <c r="AL12" s="1059"/>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3" t="s">
        <v>1102</v>
      </c>
      <c r="B14" s="1082"/>
      <c r="C14" s="1082"/>
      <c r="D14" s="1076"/>
      <c r="E14" s="1086" t="s">
        <v>22</v>
      </c>
      <c r="F14" s="1039" t="str">
        <f>INDEX(IP_MAIN_LIST_NAME_IP,MATCH(A14,IP_MAIN_LIST_IP_ID,0))&amp;" ("&amp;INDEX(IP_MAIN_START_DATE,MATCH(A14,IP_MAIN_LIST_IP_ID,0))&amp;"-"&amp;INDEX(IP_MAIN_END_DATE,MATCH(A14,IP_MAIN_LIST_IP_ID,0))&amp;")"</f>
        <v>Инвестиционная программа от 15.07.2019 ООО "Пятигорсктеплосервис" в сфере теплоснабжения по развитию систем теплоснабжения, на территории городского округа Город-курорт Пятигорск на 2020-2023 годы (01.01.2020-31.12.2023)</v>
      </c>
      <c r="G14" s="1040"/>
      <c r="H14" s="1040"/>
      <c r="I14" s="1101"/>
      <c r="J14" s="1101"/>
      <c r="K14" s="1102"/>
      <c r="L14" s="1102"/>
      <c r="M14" s="1102"/>
      <c r="N14" s="1103"/>
      <c r="O14" s="1103"/>
      <c r="P14" s="1103"/>
      <c r="Q14" s="1103"/>
      <c r="R14" s="1103"/>
      <c r="S14" s="1103"/>
      <c r="T14" s="1103"/>
      <c r="U14" s="1103"/>
      <c r="V14" s="1103"/>
      <c r="W14" s="1103"/>
      <c r="X14" s="1103"/>
      <c r="Y14" s="1103"/>
      <c r="Z14" s="1103"/>
      <c r="AA14" s="1103"/>
      <c r="AB14" s="1103"/>
      <c r="AC14" s="1103"/>
      <c r="AD14" s="1103"/>
      <c r="AE14" s="1104"/>
      <c r="AF14" s="1102"/>
      <c r="AG14" s="1102"/>
      <c r="AH14" s="1102"/>
      <c r="AI14" s="1102"/>
      <c r="AJ14" s="1102"/>
      <c r="AK14" s="1102"/>
      <c r="AL14" s="1897"/>
      <c r="AM14" s="1735"/>
      <c r="AN14" s="1735"/>
      <c r="AO14" s="1735"/>
      <c r="AP14" s="1735"/>
      <c r="AQ14" s="1735"/>
      <c r="AR14" s="1735"/>
      <c r="AS14" s="1735"/>
      <c r="AT14" s="1735"/>
      <c r="AU14" s="1735"/>
      <c r="AV14" s="1735"/>
      <c r="AW14" s="1735"/>
      <c r="AX14" s="1735"/>
      <c r="AY14" s="1735"/>
      <c r="AZ14" s="1735"/>
      <c r="BA14" s="1735"/>
      <c r="BB14" s="1735"/>
      <c r="BC14" s="1735"/>
      <c r="BD14" s="1735"/>
      <c r="BE14" s="1735"/>
      <c r="BF14" s="1735"/>
      <c r="BG14" s="2057"/>
    </row>
    <row r="15" spans="1:59" ht="0.75" customHeight="1">
      <c r="A15" s="1082" t="s">
        <v>1102</v>
      </c>
      <c r="B15" s="1082"/>
      <c r="C15" s="1082"/>
      <c r="D15" s="1076"/>
      <c r="E15" s="1086"/>
      <c r="F15" s="2709">
        <v>2020</v>
      </c>
      <c r="G15" s="2706"/>
      <c r="H15" s="2713" t="s">
        <v>375</v>
      </c>
      <c r="I15" s="2714"/>
      <c r="J15" s="2705"/>
      <c r="K15" s="2705"/>
      <c r="L15" s="2707"/>
      <c r="M15" s="2560"/>
      <c r="N15" s="1945"/>
      <c r="O15" s="1944"/>
      <c r="P15" s="1945"/>
      <c r="Q15" s="1945"/>
      <c r="R15" s="1945"/>
      <c r="S15" s="1945"/>
      <c r="T15" s="1945"/>
      <c r="U15" s="1945"/>
      <c r="V15" s="1945"/>
      <c r="W15" s="1945"/>
      <c r="X15" s="1945"/>
      <c r="Y15" s="1945"/>
      <c r="Z15" s="1945"/>
      <c r="AA15" s="1945"/>
      <c r="AB15" s="1945"/>
      <c r="AC15" s="1945"/>
      <c r="AD15" s="1945"/>
      <c r="AE15" s="1945"/>
      <c r="AF15" s="2712"/>
      <c r="AG15" s="2707"/>
      <c r="AH15" s="2707"/>
      <c r="AI15" s="2712"/>
      <c r="AJ15" s="2707"/>
      <c r="AK15" s="2707"/>
      <c r="AL15" s="1897"/>
      <c r="AM15" s="1735"/>
      <c r="AN15" s="1735"/>
      <c r="AO15" s="1735"/>
      <c r="AP15" s="1735"/>
      <c r="AQ15" s="1735"/>
      <c r="AR15" s="1735"/>
      <c r="AS15" s="1735"/>
      <c r="AT15" s="1735"/>
      <c r="AU15" s="1735"/>
      <c r="AV15" s="1735"/>
      <c r="AW15" s="1735"/>
      <c r="AX15" s="1735"/>
      <c r="AY15" s="1735"/>
      <c r="AZ15" s="1735"/>
      <c r="BA15" s="1735"/>
      <c r="BB15" s="1735"/>
      <c r="BC15" s="1735"/>
      <c r="BD15" s="1735"/>
      <c r="BE15" s="1735"/>
      <c r="BF15" s="1735"/>
      <c r="BG15" s="2057"/>
    </row>
    <row r="16" spans="1:59" ht="0.75" customHeight="1">
      <c r="A16" s="1082" t="s">
        <v>1102</v>
      </c>
      <c r="B16" s="1082"/>
      <c r="C16" s="1082"/>
      <c r="D16" s="1076"/>
      <c r="E16" s="1086"/>
      <c r="F16" s="2709"/>
      <c r="G16" s="2706"/>
      <c r="H16" s="2713"/>
      <c r="I16" s="2714"/>
      <c r="J16" s="2705"/>
      <c r="K16" s="2705"/>
      <c r="L16" s="2707"/>
      <c r="M16" s="2560"/>
      <c r="N16" s="2715"/>
      <c r="O16" s="2716"/>
      <c r="P16" s="2702"/>
      <c r="Q16" s="2705"/>
      <c r="R16" s="2705"/>
      <c r="S16" s="2705"/>
      <c r="T16" s="2705"/>
      <c r="U16" s="2705"/>
      <c r="V16" s="2705"/>
      <c r="W16" s="2705"/>
      <c r="X16" s="2705"/>
      <c r="Y16" s="2705"/>
      <c r="Z16" s="1946"/>
      <c r="AA16" s="1947"/>
      <c r="AB16" s="1947"/>
      <c r="AC16" s="1948"/>
      <c r="AD16" s="1948"/>
      <c r="AE16" s="1949"/>
      <c r="AF16" s="2712"/>
      <c r="AG16" s="2707"/>
      <c r="AH16" s="2707"/>
      <c r="AI16" s="2712"/>
      <c r="AJ16" s="2707"/>
      <c r="AK16" s="2707"/>
      <c r="AL16" s="1897"/>
      <c r="AM16" s="1735"/>
      <c r="AN16" s="1735"/>
      <c r="AO16" s="1735"/>
      <c r="AP16" s="1735"/>
      <c r="AQ16" s="1735"/>
      <c r="AR16" s="1735"/>
      <c r="AS16" s="1735"/>
      <c r="AT16" s="1735"/>
      <c r="AU16" s="1735"/>
      <c r="AV16" s="1735"/>
      <c r="AW16" s="1735"/>
      <c r="AX16" s="1735"/>
      <c r="AY16" s="1735"/>
      <c r="AZ16" s="1735"/>
      <c r="BA16" s="1735"/>
      <c r="BB16" s="1735"/>
      <c r="BC16" s="1735"/>
      <c r="BD16" s="1735"/>
      <c r="BE16" s="1735"/>
      <c r="BF16" s="1735"/>
      <c r="BG16" s="2057"/>
    </row>
    <row r="17" spans="1:59" ht="0.75" customHeight="1">
      <c r="A17" s="1082" t="s">
        <v>1102</v>
      </c>
      <c r="B17" s="1082"/>
      <c r="C17" s="1082"/>
      <c r="D17" s="1076"/>
      <c r="E17" s="1086"/>
      <c r="F17" s="2709"/>
      <c r="G17" s="2706"/>
      <c r="H17" s="2713"/>
      <c r="I17" s="2714"/>
      <c r="J17" s="2705"/>
      <c r="K17" s="2705"/>
      <c r="L17" s="2707"/>
      <c r="M17" s="2560"/>
      <c r="N17" s="2715"/>
      <c r="O17" s="2716"/>
      <c r="P17" s="2703"/>
      <c r="Q17" s="2705"/>
      <c r="R17" s="2705"/>
      <c r="S17" s="2705"/>
      <c r="T17" s="2705"/>
      <c r="U17" s="2705"/>
      <c r="V17" s="2705"/>
      <c r="W17" s="2705"/>
      <c r="X17" s="2705"/>
      <c r="Y17" s="2705"/>
      <c r="Z17" s="1950"/>
      <c r="AA17" s="1951"/>
      <c r="AB17" s="1952"/>
      <c r="AC17" s="1953"/>
      <c r="AD17" s="1952"/>
      <c r="AE17" s="1953"/>
      <c r="AF17" s="2712"/>
      <c r="AG17" s="2707"/>
      <c r="AH17" s="2707"/>
      <c r="AI17" s="2712"/>
      <c r="AJ17" s="2707"/>
      <c r="AK17" s="2707"/>
      <c r="AL17" s="1897"/>
      <c r="AM17" s="1735"/>
      <c r="AN17" s="1735"/>
      <c r="AO17" s="1735"/>
      <c r="AP17" s="1735"/>
      <c r="AQ17" s="1735"/>
      <c r="AR17" s="1735"/>
      <c r="AS17" s="1735"/>
      <c r="AT17" s="1735"/>
      <c r="AU17" s="1735"/>
      <c r="AV17" s="1735"/>
      <c r="AW17" s="1735"/>
      <c r="AX17" s="1735"/>
      <c r="AY17" s="1735"/>
      <c r="AZ17" s="1735"/>
      <c r="BA17" s="1735"/>
      <c r="BB17" s="1735"/>
      <c r="BC17" s="1735"/>
      <c r="BD17" s="1735"/>
      <c r="BE17" s="1735"/>
      <c r="BF17" s="1735"/>
      <c r="BG17" s="2057"/>
    </row>
    <row r="18" spans="1:59" ht="0.75" customHeight="1">
      <c r="A18" s="1082" t="s">
        <v>1102</v>
      </c>
      <c r="B18" s="1082"/>
      <c r="C18" s="1082"/>
      <c r="D18" s="1076"/>
      <c r="E18" s="1086"/>
      <c r="F18" s="2709"/>
      <c r="G18" s="2706"/>
      <c r="H18" s="2713"/>
      <c r="I18" s="2714"/>
      <c r="J18" s="2705"/>
      <c r="K18" s="2705"/>
      <c r="L18" s="2707"/>
      <c r="M18" s="2560"/>
      <c r="N18" s="2715"/>
      <c r="O18" s="2716"/>
      <c r="P18" s="2704"/>
      <c r="Q18" s="2705"/>
      <c r="R18" s="2705"/>
      <c r="S18" s="2705"/>
      <c r="T18" s="2705"/>
      <c r="U18" s="2705"/>
      <c r="V18" s="2705"/>
      <c r="W18" s="2705"/>
      <c r="X18" s="2705"/>
      <c r="Y18" s="2705"/>
      <c r="Z18" s="1946"/>
      <c r="AA18" s="1947"/>
      <c r="AB18" s="1954"/>
      <c r="AC18" s="1948"/>
      <c r="AD18" s="1948"/>
      <c r="AE18" s="1955"/>
      <c r="AF18" s="2712"/>
      <c r="AG18" s="2707"/>
      <c r="AH18" s="2707"/>
      <c r="AI18" s="2712"/>
      <c r="AJ18" s="2707"/>
      <c r="AK18" s="2707"/>
      <c r="AL18" s="1897"/>
      <c r="AM18" s="1735"/>
      <c r="AN18" s="1735"/>
      <c r="AO18" s="1735"/>
      <c r="AP18" s="1735"/>
      <c r="AQ18" s="1735"/>
      <c r="AR18" s="1735"/>
      <c r="AS18" s="1735"/>
      <c r="AT18" s="1735"/>
      <c r="AU18" s="1735"/>
      <c r="AV18" s="1735"/>
      <c r="AW18" s="1735"/>
      <c r="AX18" s="1735"/>
      <c r="AY18" s="1735"/>
      <c r="AZ18" s="1735"/>
      <c r="BA18" s="1735"/>
      <c r="BB18" s="1735"/>
      <c r="BC18" s="1735"/>
      <c r="BD18" s="1735"/>
      <c r="BE18" s="1735"/>
      <c r="BF18" s="1735"/>
      <c r="BG18" s="2057"/>
    </row>
    <row r="19" spans="1:59" ht="0.75" customHeight="1">
      <c r="A19" s="1082" t="s">
        <v>1102</v>
      </c>
      <c r="B19" s="1082"/>
      <c r="C19" s="1082"/>
      <c r="D19" s="1076"/>
      <c r="E19" s="1086"/>
      <c r="F19" s="2709"/>
      <c r="G19" s="2706"/>
      <c r="H19" s="2713"/>
      <c r="I19" s="2714"/>
      <c r="J19" s="2705"/>
      <c r="K19" s="2705"/>
      <c r="L19" s="2707"/>
      <c r="M19" s="2560"/>
      <c r="N19" s="1947"/>
      <c r="O19" s="1947"/>
      <c r="P19" s="1954"/>
      <c r="Q19" s="1947"/>
      <c r="R19" s="1947"/>
      <c r="S19" s="1947"/>
      <c r="T19" s="1947"/>
      <c r="U19" s="1947"/>
      <c r="V19" s="1947"/>
      <c r="W19" s="1947"/>
      <c r="X19" s="1947"/>
      <c r="Y19" s="1947"/>
      <c r="Z19" s="1947"/>
      <c r="AA19" s="1947"/>
      <c r="AB19" s="1947"/>
      <c r="AC19" s="1947"/>
      <c r="AD19" s="1947"/>
      <c r="AE19" s="1956"/>
      <c r="AF19" s="2712"/>
      <c r="AG19" s="2707"/>
      <c r="AH19" s="2707"/>
      <c r="AI19" s="2712"/>
      <c r="AJ19" s="2707"/>
      <c r="AK19" s="2707"/>
      <c r="AL19" s="1897"/>
      <c r="AM19" s="1735"/>
      <c r="AN19" s="1735"/>
      <c r="AO19" s="1735"/>
      <c r="AP19" s="1735"/>
      <c r="AQ19" s="1735"/>
      <c r="AR19" s="1735"/>
      <c r="AS19" s="1735"/>
      <c r="AT19" s="1735"/>
      <c r="AU19" s="1735"/>
      <c r="AV19" s="1735"/>
      <c r="AW19" s="1735"/>
      <c r="AX19" s="1735"/>
      <c r="AY19" s="1735"/>
      <c r="AZ19" s="1735"/>
      <c r="BA19" s="1735"/>
      <c r="BB19" s="1735"/>
      <c r="BC19" s="1735"/>
      <c r="BD19" s="1735"/>
      <c r="BE19" s="1735"/>
      <c r="BF19" s="1735"/>
      <c r="BG19" s="2057"/>
    </row>
    <row r="20" spans="1:59" ht="11.25" customHeight="1">
      <c r="A20" s="1082" t="s">
        <v>1102</v>
      </c>
      <c r="B20" s="1082"/>
      <c r="C20" s="1082"/>
      <c r="D20" s="1076"/>
      <c r="E20" s="1086"/>
      <c r="F20" s="2710"/>
      <c r="G20" s="2695" t="s">
        <v>568</v>
      </c>
      <c r="H20" s="2706" t="s">
        <v>109</v>
      </c>
      <c r="I20" s="2717"/>
      <c r="J20" s="2718"/>
      <c r="K20" s="2719" t="s">
        <v>1134</v>
      </c>
      <c r="L20" s="2445" t="s">
        <v>19</v>
      </c>
      <c r="M20" s="2446"/>
      <c r="N20" s="1895"/>
      <c r="O20" s="1093" t="s">
        <v>375</v>
      </c>
      <c r="P20" s="1094"/>
      <c r="Q20" s="1094"/>
      <c r="R20" s="1094"/>
      <c r="S20" s="1094"/>
      <c r="T20" s="1094"/>
      <c r="U20" s="1094"/>
      <c r="V20" s="1094"/>
      <c r="W20" s="1094"/>
      <c r="X20" s="1094"/>
      <c r="Y20" s="1094"/>
      <c r="Z20" s="1094"/>
      <c r="AA20" s="1094"/>
      <c r="AB20" s="1094"/>
      <c r="AC20" s="1094"/>
      <c r="AD20" s="1094"/>
      <c r="AE20" s="1094"/>
      <c r="AF20" s="2720">
        <v>2020</v>
      </c>
      <c r="AG20" s="2721" t="s">
        <v>1135</v>
      </c>
      <c r="AH20" s="2721" t="s">
        <v>1136</v>
      </c>
      <c r="AI20" s="2729">
        <v>0</v>
      </c>
      <c r="AJ20" s="2721" t="s">
        <v>1137</v>
      </c>
      <c r="AK20" s="2721" t="s">
        <v>1137</v>
      </c>
      <c r="AL20" s="1897"/>
      <c r="AM20" s="1735"/>
      <c r="AN20" s="1735"/>
      <c r="AO20" s="1735"/>
      <c r="AP20" s="1735"/>
      <c r="AQ20" s="1735"/>
      <c r="AR20" s="1735"/>
      <c r="AS20" s="1735"/>
      <c r="AT20" s="1735"/>
      <c r="AU20" s="1735"/>
      <c r="AV20" s="1735"/>
      <c r="AW20" s="1735"/>
      <c r="AX20" s="1735"/>
      <c r="AY20" s="1735"/>
      <c r="AZ20" s="1735"/>
      <c r="BA20" s="1735"/>
      <c r="BB20" s="1735"/>
      <c r="BC20" s="1735"/>
      <c r="BD20" s="1735"/>
      <c r="BE20" s="1735"/>
      <c r="BF20" s="1735"/>
      <c r="BG20" s="2279"/>
    </row>
    <row r="21" spans="1:59" ht="11.25" customHeight="1">
      <c r="A21" s="1082" t="s">
        <v>1102</v>
      </c>
      <c r="B21" s="1082"/>
      <c r="C21" s="1082"/>
      <c r="D21" s="1076"/>
      <c r="E21" s="1086"/>
      <c r="F21" s="2710"/>
      <c r="G21" s="2728"/>
      <c r="H21" s="2706" t="s">
        <v>375</v>
      </c>
      <c r="I21" s="2717"/>
      <c r="J21" s="2718"/>
      <c r="K21" s="2719"/>
      <c r="L21" s="2445"/>
      <c r="M21" s="2446"/>
      <c r="N21" s="2722"/>
      <c r="O21" s="2723">
        <v>1</v>
      </c>
      <c r="P21" s="2724" t="s">
        <v>62</v>
      </c>
      <c r="Q21" s="2718" t="s">
        <v>1138</v>
      </c>
      <c r="R21" s="2727" t="s">
        <v>1139</v>
      </c>
      <c r="S21" s="2727" t="s">
        <v>100</v>
      </c>
      <c r="T21" s="2727" t="s">
        <v>100</v>
      </c>
      <c r="U21" s="2727" t="s">
        <v>101</v>
      </c>
      <c r="V21" s="2727" t="s">
        <v>1140</v>
      </c>
      <c r="W21" s="2727" t="s">
        <v>1141</v>
      </c>
      <c r="X21" s="2727" t="s">
        <v>1142</v>
      </c>
      <c r="Y21" s="2727" t="s">
        <v>1143</v>
      </c>
      <c r="Z21" s="1091"/>
      <c r="AA21" s="1092"/>
      <c r="AB21" s="1092"/>
      <c r="AC21" s="1096"/>
      <c r="AD21" s="1096"/>
      <c r="AE21" s="1097"/>
      <c r="AF21" s="2720"/>
      <c r="AG21" s="2721"/>
      <c r="AH21" s="2721"/>
      <c r="AI21" s="2729"/>
      <c r="AJ21" s="2721"/>
      <c r="AK21" s="2721"/>
      <c r="AL21" s="1897"/>
      <c r="AM21" s="1735"/>
      <c r="AN21" s="1735"/>
      <c r="AO21" s="1735"/>
      <c r="AP21" s="1735"/>
      <c r="AQ21" s="1735"/>
      <c r="AR21" s="1735"/>
      <c r="AS21" s="1735"/>
      <c r="AT21" s="1735"/>
      <c r="AU21" s="1735"/>
      <c r="AV21" s="1735"/>
      <c r="AW21" s="1735"/>
      <c r="AX21" s="1735"/>
      <c r="AY21" s="1735"/>
      <c r="AZ21" s="1735"/>
      <c r="BA21" s="1735"/>
      <c r="BB21" s="1735"/>
      <c r="BC21" s="1735"/>
      <c r="BD21" s="1735"/>
      <c r="BE21" s="1735"/>
      <c r="BF21" s="1735"/>
      <c r="BG21" s="2279"/>
    </row>
    <row r="22" spans="1:59" ht="11.25" customHeight="1">
      <c r="A22" s="1082" t="s">
        <v>1102</v>
      </c>
      <c r="B22" s="1082"/>
      <c r="C22" s="1082"/>
      <c r="D22" s="1076"/>
      <c r="E22" s="1086"/>
      <c r="F22" s="2710"/>
      <c r="G22" s="2728"/>
      <c r="H22" s="2706" t="s">
        <v>375</v>
      </c>
      <c r="I22" s="2717"/>
      <c r="J22" s="2718"/>
      <c r="K22" s="2719"/>
      <c r="L22" s="2445"/>
      <c r="M22" s="2446"/>
      <c r="N22" s="2722"/>
      <c r="O22" s="2723"/>
      <c r="P22" s="2725"/>
      <c r="Q22" s="2718"/>
      <c r="R22" s="2678"/>
      <c r="S22" s="2727"/>
      <c r="T22" s="2678"/>
      <c r="U22" s="2678"/>
      <c r="V22" s="2678"/>
      <c r="W22" s="2678"/>
      <c r="X22" s="2678"/>
      <c r="Y22" s="2678"/>
      <c r="Z22" s="1740"/>
      <c r="AA22" s="1708">
        <v>1</v>
      </c>
      <c r="AB22" s="1095" t="s">
        <v>1144</v>
      </c>
      <c r="AC22" s="1085">
        <v>7415.81</v>
      </c>
      <c r="AD22" s="1095" t="str">
        <f>AB22</f>
        <v xml:space="preserve">      Прочие амортизационные отчисления</v>
      </c>
      <c r="AE22" s="1085">
        <v>0</v>
      </c>
      <c r="AF22" s="2720"/>
      <c r="AG22" s="2721"/>
      <c r="AH22" s="2721"/>
      <c r="AI22" s="2729"/>
      <c r="AJ22" s="2721"/>
      <c r="AK22" s="2721"/>
      <c r="AL22" s="1897"/>
      <c r="AM22" s="1735"/>
      <c r="AN22" s="1735"/>
      <c r="AO22" s="1735"/>
      <c r="AP22" s="1735"/>
      <c r="AQ22" s="1735"/>
      <c r="AR22" s="1735"/>
      <c r="AS22" s="1735"/>
      <c r="AT22" s="1735"/>
      <c r="AU22" s="1735"/>
      <c r="AV22" s="1735"/>
      <c r="AW22" s="1735"/>
      <c r="AX22" s="1735"/>
      <c r="AY22" s="1735"/>
      <c r="AZ22" s="1735"/>
      <c r="BA22" s="1735"/>
      <c r="BB22" s="1735"/>
      <c r="BC22" s="1735"/>
      <c r="BD22" s="1735"/>
      <c r="BE22" s="1735"/>
      <c r="BF22" s="1735"/>
      <c r="BG22" s="2279"/>
    </row>
    <row r="23" spans="1:59" ht="11.25" customHeight="1">
      <c r="A23" s="1082" t="s">
        <v>1102</v>
      </c>
      <c r="B23" s="1082"/>
      <c r="C23" s="1082"/>
      <c r="D23" s="1076"/>
      <c r="E23" s="1086"/>
      <c r="F23" s="2710"/>
      <c r="G23" s="2728"/>
      <c r="H23" s="2706" t="s">
        <v>375</v>
      </c>
      <c r="I23" s="2717"/>
      <c r="J23" s="2718"/>
      <c r="K23" s="2719"/>
      <c r="L23" s="2445"/>
      <c r="M23" s="2446"/>
      <c r="N23" s="2722"/>
      <c r="O23" s="2723"/>
      <c r="P23" s="2726"/>
      <c r="Q23" s="2718"/>
      <c r="R23" s="2678"/>
      <c r="S23" s="2727"/>
      <c r="T23" s="2678"/>
      <c r="U23" s="2678"/>
      <c r="V23" s="2678"/>
      <c r="W23" s="2678"/>
      <c r="X23" s="2678"/>
      <c r="Y23" s="2678"/>
      <c r="Z23" s="1091"/>
      <c r="AA23" s="1092"/>
      <c r="AB23" s="1157" t="s">
        <v>1145</v>
      </c>
      <c r="AC23" s="1096"/>
      <c r="AD23" s="1096"/>
      <c r="AE23" s="1098"/>
      <c r="AF23" s="2720"/>
      <c r="AG23" s="2721"/>
      <c r="AH23" s="2721"/>
      <c r="AI23" s="2729"/>
      <c r="AJ23" s="2721"/>
      <c r="AK23" s="2721"/>
      <c r="AL23" s="1897"/>
      <c r="AM23" s="1735"/>
      <c r="AN23" s="1735"/>
      <c r="AO23" s="1735"/>
      <c r="AP23" s="1735"/>
      <c r="AQ23" s="1735"/>
      <c r="AR23" s="1735"/>
      <c r="AS23" s="1735"/>
      <c r="AT23" s="1735"/>
      <c r="AU23" s="1735"/>
      <c r="AV23" s="1735"/>
      <c r="AW23" s="1735"/>
      <c r="AX23" s="1735"/>
      <c r="AY23" s="1735"/>
      <c r="AZ23" s="1735"/>
      <c r="BA23" s="1735"/>
      <c r="BB23" s="1735"/>
      <c r="BC23" s="1735"/>
      <c r="BD23" s="1735"/>
      <c r="BE23" s="1735"/>
      <c r="BF23" s="1735"/>
      <c r="BG23" s="2279"/>
    </row>
    <row r="24" spans="1:59" ht="11.25" customHeight="1">
      <c r="A24" s="1082" t="s">
        <v>1102</v>
      </c>
      <c r="B24" s="1082"/>
      <c r="C24" s="1082"/>
      <c r="D24" s="1076"/>
      <c r="E24" s="1086"/>
      <c r="F24" s="2710"/>
      <c r="G24" s="2728"/>
      <c r="H24" s="2706" t="s">
        <v>375</v>
      </c>
      <c r="I24" s="2717"/>
      <c r="J24" s="2718"/>
      <c r="K24" s="2719"/>
      <c r="L24" s="2445"/>
      <c r="M24" s="2446"/>
      <c r="N24" s="1091"/>
      <c r="O24" s="1092"/>
      <c r="P24" s="1084" t="s">
        <v>1146</v>
      </c>
      <c r="Q24" s="1092"/>
      <c r="R24" s="1092"/>
      <c r="S24" s="1092"/>
      <c r="T24" s="1092"/>
      <c r="U24" s="1092"/>
      <c r="V24" s="1092"/>
      <c r="W24" s="1092"/>
      <c r="X24" s="1092"/>
      <c r="Y24" s="1092"/>
      <c r="Z24" s="1092"/>
      <c r="AA24" s="1092"/>
      <c r="AB24" s="1092"/>
      <c r="AC24" s="1092"/>
      <c r="AD24" s="1092"/>
      <c r="AE24" s="1099"/>
      <c r="AF24" s="2720"/>
      <c r="AG24" s="2721"/>
      <c r="AH24" s="2721"/>
      <c r="AI24" s="2729"/>
      <c r="AJ24" s="2721"/>
      <c r="AK24" s="2721"/>
      <c r="AL24" s="1897"/>
      <c r="AM24" s="1735"/>
      <c r="AN24" s="1735"/>
      <c r="AO24" s="1735"/>
      <c r="AP24" s="1735"/>
      <c r="AQ24" s="1735"/>
      <c r="AR24" s="1735"/>
      <c r="AS24" s="1735"/>
      <c r="AT24" s="1735"/>
      <c r="AU24" s="1735"/>
      <c r="AV24" s="1735"/>
      <c r="AW24" s="1735"/>
      <c r="AX24" s="1735"/>
      <c r="AY24" s="1735"/>
      <c r="AZ24" s="1735"/>
      <c r="BA24" s="1735"/>
      <c r="BB24" s="1735"/>
      <c r="BC24" s="1735"/>
      <c r="BD24" s="1735"/>
      <c r="BE24" s="1735"/>
      <c r="BF24" s="1735"/>
      <c r="BG24" s="2279"/>
    </row>
    <row r="25" spans="1:59" ht="11.25" customHeight="1">
      <c r="A25" s="1082" t="s">
        <v>1102</v>
      </c>
      <c r="B25" s="1082"/>
      <c r="C25" s="1082"/>
      <c r="D25" s="1076"/>
      <c r="E25" s="1086"/>
      <c r="F25" s="2710"/>
      <c r="G25" s="2695" t="s">
        <v>568</v>
      </c>
      <c r="H25" s="2706" t="s">
        <v>110</v>
      </c>
      <c r="I25" s="2717"/>
      <c r="J25" s="2718"/>
      <c r="K25" s="2719" t="s">
        <v>1147</v>
      </c>
      <c r="L25" s="2445" t="s">
        <v>19</v>
      </c>
      <c r="M25" s="2446"/>
      <c r="N25" s="1895"/>
      <c r="O25" s="1093" t="s">
        <v>375</v>
      </c>
      <c r="P25" s="1094"/>
      <c r="Q25" s="1094"/>
      <c r="R25" s="1094"/>
      <c r="S25" s="1094"/>
      <c r="T25" s="1094"/>
      <c r="U25" s="1094"/>
      <c r="V25" s="1094"/>
      <c r="W25" s="1094"/>
      <c r="X25" s="1094"/>
      <c r="Y25" s="1094"/>
      <c r="Z25" s="1094"/>
      <c r="AA25" s="1094"/>
      <c r="AB25" s="1094"/>
      <c r="AC25" s="1094"/>
      <c r="AD25" s="1094"/>
      <c r="AE25" s="1094"/>
      <c r="AF25" s="2720">
        <v>2020</v>
      </c>
      <c r="AG25" s="2721" t="s">
        <v>1135</v>
      </c>
      <c r="AH25" s="2721" t="s">
        <v>1136</v>
      </c>
      <c r="AI25" s="2729">
        <v>0</v>
      </c>
      <c r="AJ25" s="2721" t="s">
        <v>1137</v>
      </c>
      <c r="AK25" s="2721" t="s">
        <v>1137</v>
      </c>
      <c r="AL25" s="1897"/>
      <c r="AM25" s="1735"/>
      <c r="AN25" s="1735"/>
      <c r="AO25" s="1735"/>
      <c r="AP25" s="1735"/>
      <c r="AQ25" s="1735"/>
      <c r="AR25" s="1735"/>
      <c r="AS25" s="1735"/>
      <c r="AT25" s="1735"/>
      <c r="AU25" s="1735"/>
      <c r="AV25" s="1735"/>
      <c r="AW25" s="1735"/>
      <c r="AX25" s="1735"/>
      <c r="AY25" s="1735"/>
      <c r="AZ25" s="1735"/>
      <c r="BA25" s="1735"/>
      <c r="BB25" s="1735"/>
      <c r="BC25" s="1735"/>
      <c r="BD25" s="1735"/>
      <c r="BE25" s="1735"/>
      <c r="BF25" s="1735"/>
      <c r="BG25" s="2279"/>
    </row>
    <row r="26" spans="1:59" ht="11.25" customHeight="1">
      <c r="A26" s="1082" t="s">
        <v>1102</v>
      </c>
      <c r="B26" s="1082"/>
      <c r="C26" s="1082"/>
      <c r="D26" s="1076"/>
      <c r="E26" s="1086"/>
      <c r="F26" s="2710"/>
      <c r="G26" s="2728"/>
      <c r="H26" s="2706" t="s">
        <v>109</v>
      </c>
      <c r="I26" s="2717"/>
      <c r="J26" s="2718"/>
      <c r="K26" s="2719"/>
      <c r="L26" s="2445"/>
      <c r="M26" s="2446"/>
      <c r="N26" s="2722"/>
      <c r="O26" s="2723">
        <v>1</v>
      </c>
      <c r="P26" s="2724" t="s">
        <v>62</v>
      </c>
      <c r="Q26" s="2718" t="s">
        <v>1148</v>
      </c>
      <c r="R26" s="2727" t="s">
        <v>1139</v>
      </c>
      <c r="S26" s="2727" t="s">
        <v>100</v>
      </c>
      <c r="T26" s="2727" t="s">
        <v>100</v>
      </c>
      <c r="U26" s="2727" t="s">
        <v>101</v>
      </c>
      <c r="V26" s="2727" t="s">
        <v>1140</v>
      </c>
      <c r="W26" s="2727" t="s">
        <v>1141</v>
      </c>
      <c r="X26" s="2727" t="s">
        <v>1149</v>
      </c>
      <c r="Y26" s="2727" t="s">
        <v>1150</v>
      </c>
      <c r="Z26" s="1091"/>
      <c r="AA26" s="1092"/>
      <c r="AB26" s="1092"/>
      <c r="AC26" s="1096"/>
      <c r="AD26" s="1096"/>
      <c r="AE26" s="1097"/>
      <c r="AF26" s="2720"/>
      <c r="AG26" s="2721"/>
      <c r="AH26" s="2721"/>
      <c r="AI26" s="2729"/>
      <c r="AJ26" s="2721"/>
      <c r="AK26" s="2721"/>
      <c r="AL26" s="1897"/>
      <c r="AM26" s="1735"/>
      <c r="AN26" s="1735"/>
      <c r="AO26" s="1735"/>
      <c r="AP26" s="1735"/>
      <c r="AQ26" s="1735"/>
      <c r="AR26" s="1735"/>
      <c r="AS26" s="1735"/>
      <c r="AT26" s="1735"/>
      <c r="AU26" s="1735"/>
      <c r="AV26" s="1735"/>
      <c r="AW26" s="1735"/>
      <c r="AX26" s="1735"/>
      <c r="AY26" s="1735"/>
      <c r="AZ26" s="1735"/>
      <c r="BA26" s="1735"/>
      <c r="BB26" s="1735"/>
      <c r="BC26" s="1735"/>
      <c r="BD26" s="1735"/>
      <c r="BE26" s="1735"/>
      <c r="BF26" s="1735"/>
      <c r="BG26" s="2279"/>
    </row>
    <row r="27" spans="1:59" ht="11.25" customHeight="1">
      <c r="A27" s="1082" t="s">
        <v>1102</v>
      </c>
      <c r="B27" s="1082"/>
      <c r="C27" s="1082"/>
      <c r="D27" s="1076"/>
      <c r="E27" s="1086"/>
      <c r="F27" s="2710"/>
      <c r="G27" s="2728"/>
      <c r="H27" s="2706" t="s">
        <v>109</v>
      </c>
      <c r="I27" s="2717"/>
      <c r="J27" s="2718"/>
      <c r="K27" s="2719"/>
      <c r="L27" s="2445"/>
      <c r="M27" s="2446"/>
      <c r="N27" s="2722"/>
      <c r="O27" s="2723"/>
      <c r="P27" s="2725"/>
      <c r="Q27" s="2718"/>
      <c r="R27" s="2678"/>
      <c r="S27" s="2727"/>
      <c r="T27" s="2678"/>
      <c r="U27" s="2678"/>
      <c r="V27" s="2678"/>
      <c r="W27" s="2678"/>
      <c r="X27" s="2678"/>
      <c r="Y27" s="2678"/>
      <c r="Z27" s="1740"/>
      <c r="AA27" s="1708">
        <v>1</v>
      </c>
      <c r="AB27" s="1095" t="s">
        <v>1144</v>
      </c>
      <c r="AC27" s="1085">
        <v>4174.6899999999996</v>
      </c>
      <c r="AD27" s="1095" t="str">
        <f>AB27</f>
        <v xml:space="preserve">      Прочие амортизационные отчисления</v>
      </c>
      <c r="AE27" s="1085">
        <v>0</v>
      </c>
      <c r="AF27" s="2720"/>
      <c r="AG27" s="2721"/>
      <c r="AH27" s="2721"/>
      <c r="AI27" s="2729"/>
      <c r="AJ27" s="2721"/>
      <c r="AK27" s="2721"/>
      <c r="AL27" s="1897"/>
      <c r="AM27" s="1735"/>
      <c r="AN27" s="1735"/>
      <c r="AO27" s="1735"/>
      <c r="AP27" s="1735"/>
      <c r="AQ27" s="1735"/>
      <c r="AR27" s="1735"/>
      <c r="AS27" s="1735"/>
      <c r="AT27" s="1735"/>
      <c r="AU27" s="1735"/>
      <c r="AV27" s="1735"/>
      <c r="AW27" s="1735"/>
      <c r="AX27" s="1735"/>
      <c r="AY27" s="1735"/>
      <c r="AZ27" s="1735"/>
      <c r="BA27" s="1735"/>
      <c r="BB27" s="1735"/>
      <c r="BC27" s="1735"/>
      <c r="BD27" s="1735"/>
      <c r="BE27" s="1735"/>
      <c r="BF27" s="1735"/>
      <c r="BG27" s="2279"/>
    </row>
    <row r="28" spans="1:59" ht="11.25" customHeight="1">
      <c r="A28" s="1082" t="s">
        <v>1102</v>
      </c>
      <c r="B28" s="1082"/>
      <c r="C28" s="1082"/>
      <c r="D28" s="1076"/>
      <c r="E28" s="1086"/>
      <c r="F28" s="2710"/>
      <c r="G28" s="2728"/>
      <c r="H28" s="2706" t="s">
        <v>109</v>
      </c>
      <c r="I28" s="2717"/>
      <c r="J28" s="2718"/>
      <c r="K28" s="2719"/>
      <c r="L28" s="2445"/>
      <c r="M28" s="2446"/>
      <c r="N28" s="2722"/>
      <c r="O28" s="2723"/>
      <c r="P28" s="2726"/>
      <c r="Q28" s="2718"/>
      <c r="R28" s="2678"/>
      <c r="S28" s="2727"/>
      <c r="T28" s="2678"/>
      <c r="U28" s="2678"/>
      <c r="V28" s="2678"/>
      <c r="W28" s="2678"/>
      <c r="X28" s="2678"/>
      <c r="Y28" s="2678"/>
      <c r="Z28" s="1091"/>
      <c r="AA28" s="1092"/>
      <c r="AB28" s="1157" t="s">
        <v>1145</v>
      </c>
      <c r="AC28" s="1096"/>
      <c r="AD28" s="1096"/>
      <c r="AE28" s="1098"/>
      <c r="AF28" s="2720"/>
      <c r="AG28" s="2721"/>
      <c r="AH28" s="2721"/>
      <c r="AI28" s="2729"/>
      <c r="AJ28" s="2721"/>
      <c r="AK28" s="2721"/>
      <c r="AL28" s="1897"/>
      <c r="AM28" s="1735"/>
      <c r="AN28" s="1735"/>
      <c r="AO28" s="1735"/>
      <c r="AP28" s="1735"/>
      <c r="AQ28" s="1735"/>
      <c r="AR28" s="1735"/>
      <c r="AS28" s="1735"/>
      <c r="AT28" s="1735"/>
      <c r="AU28" s="1735"/>
      <c r="AV28" s="1735"/>
      <c r="AW28" s="1735"/>
      <c r="AX28" s="1735"/>
      <c r="AY28" s="1735"/>
      <c r="AZ28" s="1735"/>
      <c r="BA28" s="1735"/>
      <c r="BB28" s="1735"/>
      <c r="BC28" s="1735"/>
      <c r="BD28" s="1735"/>
      <c r="BE28" s="1735"/>
      <c r="BF28" s="1735"/>
      <c r="BG28" s="2279"/>
    </row>
    <row r="29" spans="1:59" ht="11.25" customHeight="1">
      <c r="A29" s="1082" t="s">
        <v>1102</v>
      </c>
      <c r="B29" s="1082"/>
      <c r="C29" s="1082"/>
      <c r="D29" s="1076"/>
      <c r="E29" s="1086"/>
      <c r="F29" s="2710"/>
      <c r="G29" s="2728"/>
      <c r="H29" s="2706" t="s">
        <v>109</v>
      </c>
      <c r="I29" s="2717"/>
      <c r="J29" s="2718"/>
      <c r="K29" s="2719"/>
      <c r="L29" s="2445"/>
      <c r="M29" s="2446"/>
      <c r="N29" s="1091"/>
      <c r="O29" s="1092"/>
      <c r="P29" s="1084" t="s">
        <v>1146</v>
      </c>
      <c r="Q29" s="1092"/>
      <c r="R29" s="1092"/>
      <c r="S29" s="1092"/>
      <c r="T29" s="1092"/>
      <c r="U29" s="1092"/>
      <c r="V29" s="1092"/>
      <c r="W29" s="1092"/>
      <c r="X29" s="1092"/>
      <c r="Y29" s="1092"/>
      <c r="Z29" s="1092"/>
      <c r="AA29" s="1092"/>
      <c r="AB29" s="1092"/>
      <c r="AC29" s="1092"/>
      <c r="AD29" s="1092"/>
      <c r="AE29" s="1099"/>
      <c r="AF29" s="2720"/>
      <c r="AG29" s="2721"/>
      <c r="AH29" s="2721"/>
      <c r="AI29" s="2729"/>
      <c r="AJ29" s="2721"/>
      <c r="AK29" s="2721"/>
      <c r="AL29" s="1897"/>
      <c r="AM29" s="1735"/>
      <c r="AN29" s="1735"/>
      <c r="AO29" s="1735"/>
      <c r="AP29" s="1735"/>
      <c r="AQ29" s="1735"/>
      <c r="AR29" s="1735"/>
      <c r="AS29" s="1735"/>
      <c r="AT29" s="1735"/>
      <c r="AU29" s="1735"/>
      <c r="AV29" s="1735"/>
      <c r="AW29" s="1735"/>
      <c r="AX29" s="1735"/>
      <c r="AY29" s="1735"/>
      <c r="AZ29" s="1735"/>
      <c r="BA29" s="1735"/>
      <c r="BB29" s="1735"/>
      <c r="BC29" s="1735"/>
      <c r="BD29" s="1735"/>
      <c r="BE29" s="1735"/>
      <c r="BF29" s="1735"/>
      <c r="BG29" s="2279"/>
    </row>
    <row r="30" spans="1:59" ht="12" customHeight="1">
      <c r="A30" s="1082" t="s">
        <v>1102</v>
      </c>
      <c r="B30" s="1082"/>
      <c r="C30" s="1082"/>
      <c r="D30" s="1076"/>
      <c r="E30" s="1086"/>
      <c r="F30" s="2711"/>
      <c r="G30" s="1106"/>
      <c r="H30" s="1106"/>
      <c r="I30" s="2708" t="s">
        <v>1151</v>
      </c>
      <c r="J30" s="2708"/>
      <c r="K30" s="2708"/>
      <c r="L30" s="1089"/>
      <c r="M30" s="1089"/>
      <c r="N30" s="1090"/>
      <c r="O30" s="1090"/>
      <c r="P30" s="1090"/>
      <c r="Q30" s="1090"/>
      <c r="R30" s="1090"/>
      <c r="S30" s="1090"/>
      <c r="T30" s="1090"/>
      <c r="U30" s="1090"/>
      <c r="V30" s="1090"/>
      <c r="W30" s="1090"/>
      <c r="X30" s="1090"/>
      <c r="Y30" s="1090"/>
      <c r="Z30" s="1090"/>
      <c r="AA30" s="1090"/>
      <c r="AB30" s="1090"/>
      <c r="AC30" s="1090"/>
      <c r="AD30" s="1090"/>
      <c r="AE30" s="1090"/>
      <c r="AF30" s="1090"/>
      <c r="AG30" s="1089"/>
      <c r="AH30" s="1089"/>
      <c r="AI30" s="1090"/>
      <c r="AJ30" s="1089"/>
      <c r="AK30" s="1090"/>
      <c r="AL30" s="1897"/>
      <c r="AM30" s="1735"/>
      <c r="AN30" s="1735"/>
      <c r="AO30" s="1735"/>
      <c r="AP30" s="1735"/>
      <c r="AQ30" s="1735"/>
      <c r="AR30" s="1735"/>
      <c r="AS30" s="1735"/>
      <c r="AT30" s="1735"/>
      <c r="AU30" s="1735"/>
      <c r="AV30" s="1735"/>
      <c r="AW30" s="1735"/>
      <c r="AX30" s="1735"/>
      <c r="AY30" s="1735"/>
      <c r="AZ30" s="1735"/>
      <c r="BA30" s="1735"/>
      <c r="BB30" s="1735"/>
      <c r="BC30" s="1735"/>
      <c r="BD30" s="1735"/>
      <c r="BE30" s="1735"/>
      <c r="BF30" s="1735"/>
      <c r="BG30" s="2057"/>
    </row>
    <row r="31" spans="1:59" ht="0.75" customHeight="1">
      <c r="A31" s="1082" t="s">
        <v>1102</v>
      </c>
      <c r="B31" s="1082"/>
      <c r="C31" s="1082"/>
      <c r="D31" s="1076"/>
      <c r="E31" s="1086"/>
      <c r="F31" s="2709">
        <v>2021</v>
      </c>
      <c r="G31" s="2706"/>
      <c r="H31" s="2713" t="s">
        <v>375</v>
      </c>
      <c r="I31" s="2714"/>
      <c r="J31" s="2705"/>
      <c r="K31" s="2705"/>
      <c r="L31" s="2707"/>
      <c r="M31" s="2560"/>
      <c r="N31" s="1945"/>
      <c r="O31" s="1944"/>
      <c r="P31" s="1945"/>
      <c r="Q31" s="1945"/>
      <c r="R31" s="1945"/>
      <c r="S31" s="1945"/>
      <c r="T31" s="1945"/>
      <c r="U31" s="1945"/>
      <c r="V31" s="1945"/>
      <c r="W31" s="1945"/>
      <c r="X31" s="1945"/>
      <c r="Y31" s="1945"/>
      <c r="Z31" s="1945"/>
      <c r="AA31" s="1945"/>
      <c r="AB31" s="1945"/>
      <c r="AC31" s="1945"/>
      <c r="AD31" s="1945"/>
      <c r="AE31" s="1945"/>
      <c r="AF31" s="2712"/>
      <c r="AG31" s="2707"/>
      <c r="AH31" s="2707"/>
      <c r="AI31" s="2712"/>
      <c r="AJ31" s="2707"/>
      <c r="AK31" s="2707"/>
      <c r="AL31" s="1897"/>
      <c r="AM31" s="1735"/>
      <c r="AN31" s="1735"/>
      <c r="AO31" s="1735"/>
      <c r="AP31" s="1735"/>
      <c r="AQ31" s="1735"/>
      <c r="AR31" s="1735"/>
      <c r="AS31" s="1735"/>
      <c r="AT31" s="1735"/>
      <c r="AU31" s="1735"/>
      <c r="AV31" s="1735"/>
      <c r="AW31" s="1735"/>
      <c r="AX31" s="1735"/>
      <c r="AY31" s="1735"/>
      <c r="AZ31" s="1735"/>
      <c r="BA31" s="1735"/>
      <c r="BB31" s="1735"/>
      <c r="BC31" s="1735"/>
      <c r="BD31" s="1735"/>
      <c r="BE31" s="1735"/>
      <c r="BF31" s="1735"/>
      <c r="BG31" s="2057"/>
    </row>
    <row r="32" spans="1:59" ht="0.75" customHeight="1">
      <c r="A32" s="1082" t="s">
        <v>1102</v>
      </c>
      <c r="B32" s="1082"/>
      <c r="C32" s="1082"/>
      <c r="D32" s="1076"/>
      <c r="E32" s="1086"/>
      <c r="F32" s="2709"/>
      <c r="G32" s="2706"/>
      <c r="H32" s="2713"/>
      <c r="I32" s="2714"/>
      <c r="J32" s="2705"/>
      <c r="K32" s="2705"/>
      <c r="L32" s="2707"/>
      <c r="M32" s="2560"/>
      <c r="N32" s="2715"/>
      <c r="O32" s="2716"/>
      <c r="P32" s="2702"/>
      <c r="Q32" s="2705"/>
      <c r="R32" s="2705"/>
      <c r="S32" s="2705"/>
      <c r="T32" s="2705"/>
      <c r="U32" s="2705"/>
      <c r="V32" s="2705"/>
      <c r="W32" s="2705"/>
      <c r="X32" s="2705"/>
      <c r="Y32" s="2705"/>
      <c r="Z32" s="1946"/>
      <c r="AA32" s="1947"/>
      <c r="AB32" s="1947"/>
      <c r="AC32" s="1948"/>
      <c r="AD32" s="1948"/>
      <c r="AE32" s="1949"/>
      <c r="AF32" s="2712"/>
      <c r="AG32" s="2707"/>
      <c r="AH32" s="2707"/>
      <c r="AI32" s="2712"/>
      <c r="AJ32" s="2707"/>
      <c r="AK32" s="2707"/>
      <c r="AL32" s="1897"/>
      <c r="AM32" s="1735"/>
      <c r="AN32" s="1735"/>
      <c r="AO32" s="1735"/>
      <c r="AP32" s="1735"/>
      <c r="AQ32" s="1735"/>
      <c r="AR32" s="1735"/>
      <c r="AS32" s="1735"/>
      <c r="AT32" s="1735"/>
      <c r="AU32" s="1735"/>
      <c r="AV32" s="1735"/>
      <c r="AW32" s="1735"/>
      <c r="AX32" s="1735"/>
      <c r="AY32" s="1735"/>
      <c r="AZ32" s="1735"/>
      <c r="BA32" s="1735"/>
      <c r="BB32" s="1735"/>
      <c r="BC32" s="1735"/>
      <c r="BD32" s="1735"/>
      <c r="BE32" s="1735"/>
      <c r="BF32" s="1735"/>
      <c r="BG32" s="2057"/>
    </row>
    <row r="33" spans="1:59" ht="0.75" customHeight="1">
      <c r="A33" s="1082" t="s">
        <v>1102</v>
      </c>
      <c r="B33" s="1082"/>
      <c r="C33" s="1082"/>
      <c r="D33" s="1076"/>
      <c r="E33" s="1086"/>
      <c r="F33" s="2709"/>
      <c r="G33" s="2706"/>
      <c r="H33" s="2713"/>
      <c r="I33" s="2714"/>
      <c r="J33" s="2705"/>
      <c r="K33" s="2705"/>
      <c r="L33" s="2707"/>
      <c r="M33" s="2560"/>
      <c r="N33" s="2715"/>
      <c r="O33" s="2716"/>
      <c r="P33" s="2703"/>
      <c r="Q33" s="2705"/>
      <c r="R33" s="2705"/>
      <c r="S33" s="2705"/>
      <c r="T33" s="2705"/>
      <c r="U33" s="2705"/>
      <c r="V33" s="2705"/>
      <c r="W33" s="2705"/>
      <c r="X33" s="2705"/>
      <c r="Y33" s="2705"/>
      <c r="Z33" s="1950"/>
      <c r="AA33" s="1951"/>
      <c r="AB33" s="1952"/>
      <c r="AC33" s="1953"/>
      <c r="AD33" s="1952"/>
      <c r="AE33" s="1953"/>
      <c r="AF33" s="2712"/>
      <c r="AG33" s="2707"/>
      <c r="AH33" s="2707"/>
      <c r="AI33" s="2712"/>
      <c r="AJ33" s="2707"/>
      <c r="AK33" s="2707"/>
      <c r="AL33" s="1897"/>
      <c r="AM33" s="1735"/>
      <c r="AN33" s="1735"/>
      <c r="AO33" s="1735"/>
      <c r="AP33" s="1735"/>
      <c r="AQ33" s="1735"/>
      <c r="AR33" s="1735"/>
      <c r="AS33" s="1735"/>
      <c r="AT33" s="1735"/>
      <c r="AU33" s="1735"/>
      <c r="AV33" s="1735"/>
      <c r="AW33" s="1735"/>
      <c r="AX33" s="1735"/>
      <c r="AY33" s="1735"/>
      <c r="AZ33" s="1735"/>
      <c r="BA33" s="1735"/>
      <c r="BB33" s="1735"/>
      <c r="BC33" s="1735"/>
      <c r="BD33" s="1735"/>
      <c r="BE33" s="1735"/>
      <c r="BF33" s="1735"/>
      <c r="BG33" s="2057"/>
    </row>
    <row r="34" spans="1:59" ht="0.75" customHeight="1">
      <c r="A34" s="1082" t="s">
        <v>1102</v>
      </c>
      <c r="B34" s="1082"/>
      <c r="C34" s="1082"/>
      <c r="D34" s="1076"/>
      <c r="E34" s="1086"/>
      <c r="F34" s="2709"/>
      <c r="G34" s="2706"/>
      <c r="H34" s="2713"/>
      <c r="I34" s="2714"/>
      <c r="J34" s="2705"/>
      <c r="K34" s="2705"/>
      <c r="L34" s="2707"/>
      <c r="M34" s="2560"/>
      <c r="N34" s="2715"/>
      <c r="O34" s="2716"/>
      <c r="P34" s="2704"/>
      <c r="Q34" s="2705"/>
      <c r="R34" s="2705"/>
      <c r="S34" s="2705"/>
      <c r="T34" s="2705"/>
      <c r="U34" s="2705"/>
      <c r="V34" s="2705"/>
      <c r="W34" s="2705"/>
      <c r="X34" s="2705"/>
      <c r="Y34" s="2705"/>
      <c r="Z34" s="1946"/>
      <c r="AA34" s="1947"/>
      <c r="AB34" s="1954"/>
      <c r="AC34" s="1948"/>
      <c r="AD34" s="1948"/>
      <c r="AE34" s="1955"/>
      <c r="AF34" s="2712"/>
      <c r="AG34" s="2707"/>
      <c r="AH34" s="2707"/>
      <c r="AI34" s="2712"/>
      <c r="AJ34" s="2707"/>
      <c r="AK34" s="2707"/>
      <c r="AL34" s="1897"/>
      <c r="AM34" s="1735"/>
      <c r="AN34" s="1735"/>
      <c r="AO34" s="1735"/>
      <c r="AP34" s="1735"/>
      <c r="AQ34" s="1735"/>
      <c r="AR34" s="1735"/>
      <c r="AS34" s="1735"/>
      <c r="AT34" s="1735"/>
      <c r="AU34" s="1735"/>
      <c r="AV34" s="1735"/>
      <c r="AW34" s="1735"/>
      <c r="AX34" s="1735"/>
      <c r="AY34" s="1735"/>
      <c r="AZ34" s="1735"/>
      <c r="BA34" s="1735"/>
      <c r="BB34" s="1735"/>
      <c r="BC34" s="1735"/>
      <c r="BD34" s="1735"/>
      <c r="BE34" s="1735"/>
      <c r="BF34" s="1735"/>
      <c r="BG34" s="2057"/>
    </row>
    <row r="35" spans="1:59" ht="0.75" customHeight="1">
      <c r="A35" s="1082" t="s">
        <v>1102</v>
      </c>
      <c r="B35" s="1082"/>
      <c r="C35" s="1082"/>
      <c r="D35" s="1076"/>
      <c r="E35" s="1086"/>
      <c r="F35" s="2709"/>
      <c r="G35" s="2706"/>
      <c r="H35" s="2713"/>
      <c r="I35" s="2714"/>
      <c r="J35" s="2705"/>
      <c r="K35" s="2705"/>
      <c r="L35" s="2707"/>
      <c r="M35" s="2560"/>
      <c r="N35" s="1947"/>
      <c r="O35" s="1947"/>
      <c r="P35" s="1954"/>
      <c r="Q35" s="1947"/>
      <c r="R35" s="1947"/>
      <c r="S35" s="1947"/>
      <c r="T35" s="1947"/>
      <c r="U35" s="1947"/>
      <c r="V35" s="1947"/>
      <c r="W35" s="1947"/>
      <c r="X35" s="1947"/>
      <c r="Y35" s="1947"/>
      <c r="Z35" s="1947"/>
      <c r="AA35" s="1947"/>
      <c r="AB35" s="1947"/>
      <c r="AC35" s="1947"/>
      <c r="AD35" s="1947"/>
      <c r="AE35" s="1956"/>
      <c r="AF35" s="2712"/>
      <c r="AG35" s="2707"/>
      <c r="AH35" s="2707"/>
      <c r="AI35" s="2712"/>
      <c r="AJ35" s="2707"/>
      <c r="AK35" s="2707"/>
      <c r="AL35" s="1897"/>
      <c r="AM35" s="1735"/>
      <c r="AN35" s="1735"/>
      <c r="AO35" s="1735"/>
      <c r="AP35" s="1735"/>
      <c r="AQ35" s="1735"/>
      <c r="AR35" s="1735"/>
      <c r="AS35" s="1735"/>
      <c r="AT35" s="1735"/>
      <c r="AU35" s="1735"/>
      <c r="AV35" s="1735"/>
      <c r="AW35" s="1735"/>
      <c r="AX35" s="1735"/>
      <c r="AY35" s="1735"/>
      <c r="AZ35" s="1735"/>
      <c r="BA35" s="1735"/>
      <c r="BB35" s="1735"/>
      <c r="BC35" s="1735"/>
      <c r="BD35" s="1735"/>
      <c r="BE35" s="1735"/>
      <c r="BF35" s="1735"/>
      <c r="BG35" s="2057"/>
    </row>
    <row r="36" spans="1:59" ht="11.25" customHeight="1">
      <c r="A36" s="1082" t="s">
        <v>1102</v>
      </c>
      <c r="B36" s="1082"/>
      <c r="C36" s="1082"/>
      <c r="D36" s="1076"/>
      <c r="E36" s="1086"/>
      <c r="F36" s="2710"/>
      <c r="G36" s="2695" t="s">
        <v>568</v>
      </c>
      <c r="H36" s="2706" t="s">
        <v>109</v>
      </c>
      <c r="I36" s="2717"/>
      <c r="J36" s="2718"/>
      <c r="K36" s="2719" t="s">
        <v>1152</v>
      </c>
      <c r="L36" s="2445" t="s">
        <v>19</v>
      </c>
      <c r="M36" s="2446"/>
      <c r="N36" s="1895"/>
      <c r="O36" s="1093" t="s">
        <v>375</v>
      </c>
      <c r="P36" s="1094"/>
      <c r="Q36" s="1094"/>
      <c r="R36" s="1094"/>
      <c r="S36" s="1094"/>
      <c r="T36" s="1094"/>
      <c r="U36" s="1094"/>
      <c r="V36" s="1094"/>
      <c r="W36" s="1094"/>
      <c r="X36" s="1094"/>
      <c r="Y36" s="1094"/>
      <c r="Z36" s="1094"/>
      <c r="AA36" s="1094"/>
      <c r="AB36" s="1094"/>
      <c r="AC36" s="1094"/>
      <c r="AD36" s="1094"/>
      <c r="AE36" s="1094"/>
      <c r="AF36" s="2720">
        <v>2021</v>
      </c>
      <c r="AG36" s="2721" t="s">
        <v>1135</v>
      </c>
      <c r="AH36" s="2721" t="s">
        <v>1153</v>
      </c>
      <c r="AI36" s="2720">
        <v>2021</v>
      </c>
      <c r="AJ36" s="2721" t="s">
        <v>1135</v>
      </c>
      <c r="AK36" s="2721" t="s">
        <v>1153</v>
      </c>
      <c r="AL36" s="1897"/>
      <c r="AM36" s="1735"/>
      <c r="AN36" s="1735"/>
      <c r="AO36" s="1735"/>
      <c r="AP36" s="1735"/>
      <c r="AQ36" s="1735"/>
      <c r="AR36" s="1735"/>
      <c r="AS36" s="1735"/>
      <c r="AT36" s="1735"/>
      <c r="AU36" s="1735"/>
      <c r="AV36" s="1735"/>
      <c r="AW36" s="1735"/>
      <c r="AX36" s="1735"/>
      <c r="AY36" s="1735"/>
      <c r="AZ36" s="1735"/>
      <c r="BA36" s="1735"/>
      <c r="BB36" s="1735"/>
      <c r="BC36" s="1735"/>
      <c r="BD36" s="1735"/>
      <c r="BE36" s="1735"/>
      <c r="BF36" s="1735"/>
      <c r="BG36" s="2279"/>
    </row>
    <row r="37" spans="1:59" ht="11.25" customHeight="1">
      <c r="A37" s="1082" t="s">
        <v>1102</v>
      </c>
      <c r="B37" s="1082"/>
      <c r="C37" s="1082"/>
      <c r="D37" s="1076"/>
      <c r="E37" s="1086"/>
      <c r="F37" s="2710"/>
      <c r="G37" s="2728"/>
      <c r="H37" s="2706" t="s">
        <v>110</v>
      </c>
      <c r="I37" s="2717"/>
      <c r="J37" s="2718"/>
      <c r="K37" s="2719"/>
      <c r="L37" s="2445"/>
      <c r="M37" s="2446"/>
      <c r="N37" s="2722"/>
      <c r="O37" s="2723">
        <v>1</v>
      </c>
      <c r="P37" s="2724" t="s">
        <v>62</v>
      </c>
      <c r="Q37" s="2718" t="s">
        <v>1138</v>
      </c>
      <c r="R37" s="2727" t="s">
        <v>1139</v>
      </c>
      <c r="S37" s="2727" t="s">
        <v>100</v>
      </c>
      <c r="T37" s="2727" t="s">
        <v>100</v>
      </c>
      <c r="U37" s="2727" t="s">
        <v>101</v>
      </c>
      <c r="V37" s="2727" t="s">
        <v>1140</v>
      </c>
      <c r="W37" s="2727" t="s">
        <v>1141</v>
      </c>
      <c r="X37" s="2727" t="s">
        <v>1142</v>
      </c>
      <c r="Y37" s="2727" t="s">
        <v>1143</v>
      </c>
      <c r="Z37" s="1091"/>
      <c r="AA37" s="1092"/>
      <c r="AB37" s="1092"/>
      <c r="AC37" s="1096"/>
      <c r="AD37" s="1096"/>
      <c r="AE37" s="1097"/>
      <c r="AF37" s="2720"/>
      <c r="AG37" s="2721"/>
      <c r="AH37" s="2721"/>
      <c r="AI37" s="2720"/>
      <c r="AJ37" s="2721"/>
      <c r="AK37" s="2721"/>
      <c r="AL37" s="1897"/>
      <c r="AM37" s="1735"/>
      <c r="AN37" s="1735"/>
      <c r="AO37" s="1735"/>
      <c r="AP37" s="1735"/>
      <c r="AQ37" s="1735"/>
      <c r="AR37" s="1735"/>
      <c r="AS37" s="1735"/>
      <c r="AT37" s="1735"/>
      <c r="AU37" s="1735"/>
      <c r="AV37" s="1735"/>
      <c r="AW37" s="1735"/>
      <c r="AX37" s="1735"/>
      <c r="AY37" s="1735"/>
      <c r="AZ37" s="1735"/>
      <c r="BA37" s="1735"/>
      <c r="BB37" s="1735"/>
      <c r="BC37" s="1735"/>
      <c r="BD37" s="1735"/>
      <c r="BE37" s="1735"/>
      <c r="BF37" s="1735"/>
      <c r="BG37" s="2279"/>
    </row>
    <row r="38" spans="1:59" ht="11.25" customHeight="1">
      <c r="A38" s="1082" t="s">
        <v>1102</v>
      </c>
      <c r="B38" s="1082"/>
      <c r="C38" s="1082"/>
      <c r="D38" s="1076"/>
      <c r="E38" s="1086"/>
      <c r="F38" s="2710"/>
      <c r="G38" s="2728"/>
      <c r="H38" s="2706" t="s">
        <v>110</v>
      </c>
      <c r="I38" s="2717"/>
      <c r="J38" s="2718"/>
      <c r="K38" s="2719"/>
      <c r="L38" s="2445"/>
      <c r="M38" s="2446"/>
      <c r="N38" s="2722"/>
      <c r="O38" s="2723"/>
      <c r="P38" s="2725"/>
      <c r="Q38" s="2718"/>
      <c r="R38" s="2678"/>
      <c r="S38" s="2727"/>
      <c r="T38" s="2678"/>
      <c r="U38" s="2678"/>
      <c r="V38" s="2678"/>
      <c r="W38" s="2678"/>
      <c r="X38" s="2678"/>
      <c r="Y38" s="2678"/>
      <c r="Z38" s="1740"/>
      <c r="AA38" s="1708">
        <v>1</v>
      </c>
      <c r="AB38" s="1095" t="s">
        <v>1154</v>
      </c>
      <c r="AC38" s="1085">
        <v>15343.65</v>
      </c>
      <c r="AD38" s="1095" t="str">
        <f>AB38</f>
        <v xml:space="preserve">  Прибыль направляемая на инвестиции</v>
      </c>
      <c r="AE38" s="1085">
        <v>14561.92</v>
      </c>
      <c r="AF38" s="2720"/>
      <c r="AG38" s="2721"/>
      <c r="AH38" s="2721"/>
      <c r="AI38" s="2720"/>
      <c r="AJ38" s="2721"/>
      <c r="AK38" s="2721"/>
      <c r="AL38" s="1897"/>
      <c r="AM38" s="1735"/>
      <c r="AN38" s="1735"/>
      <c r="AO38" s="1735"/>
      <c r="AP38" s="1735"/>
      <c r="AQ38" s="1735"/>
      <c r="AR38" s="1735"/>
      <c r="AS38" s="1735"/>
      <c r="AT38" s="1735"/>
      <c r="AU38" s="1735"/>
      <c r="AV38" s="1735"/>
      <c r="AW38" s="1735"/>
      <c r="AX38" s="1735"/>
      <c r="AY38" s="1735"/>
      <c r="AZ38" s="1735"/>
      <c r="BA38" s="1735"/>
      <c r="BB38" s="1735"/>
      <c r="BC38" s="1735"/>
      <c r="BD38" s="1735"/>
      <c r="BE38" s="1735"/>
      <c r="BF38" s="1735"/>
      <c r="BG38" s="2279"/>
    </row>
    <row r="39" spans="1:59" ht="11.25" customHeight="1">
      <c r="A39" s="1082" t="s">
        <v>1102</v>
      </c>
      <c r="B39" s="1082"/>
      <c r="C39" s="1082"/>
      <c r="D39" s="1076"/>
      <c r="E39" s="1086"/>
      <c r="F39" s="2710"/>
      <c r="G39" s="2728"/>
      <c r="H39" s="2706" t="s">
        <v>110</v>
      </c>
      <c r="I39" s="2717"/>
      <c r="J39" s="2718"/>
      <c r="K39" s="2719"/>
      <c r="L39" s="2445"/>
      <c r="M39" s="2446"/>
      <c r="N39" s="2722"/>
      <c r="O39" s="2723"/>
      <c r="P39" s="2726"/>
      <c r="Q39" s="2718"/>
      <c r="R39" s="2678"/>
      <c r="S39" s="2727"/>
      <c r="T39" s="2678"/>
      <c r="U39" s="2678"/>
      <c r="V39" s="2678"/>
      <c r="W39" s="2678"/>
      <c r="X39" s="2678"/>
      <c r="Y39" s="2678"/>
      <c r="Z39" s="1091"/>
      <c r="AA39" s="1092"/>
      <c r="AB39" s="1157" t="s">
        <v>1145</v>
      </c>
      <c r="AC39" s="1096"/>
      <c r="AD39" s="1096"/>
      <c r="AE39" s="1098"/>
      <c r="AF39" s="2720"/>
      <c r="AG39" s="2721"/>
      <c r="AH39" s="2721"/>
      <c r="AI39" s="2720"/>
      <c r="AJ39" s="2721"/>
      <c r="AK39" s="2721"/>
      <c r="AL39" s="1897"/>
      <c r="AM39" s="1735"/>
      <c r="AN39" s="1735"/>
      <c r="AO39" s="1735"/>
      <c r="AP39" s="1735"/>
      <c r="AQ39" s="1735"/>
      <c r="AR39" s="1735"/>
      <c r="AS39" s="1735"/>
      <c r="AT39" s="1735"/>
      <c r="AU39" s="1735"/>
      <c r="AV39" s="1735"/>
      <c r="AW39" s="1735"/>
      <c r="AX39" s="1735"/>
      <c r="AY39" s="1735"/>
      <c r="AZ39" s="1735"/>
      <c r="BA39" s="1735"/>
      <c r="BB39" s="1735"/>
      <c r="BC39" s="1735"/>
      <c r="BD39" s="1735"/>
      <c r="BE39" s="1735"/>
      <c r="BF39" s="1735"/>
      <c r="BG39" s="2279"/>
    </row>
    <row r="40" spans="1:59" ht="11.25" customHeight="1">
      <c r="A40" s="1082" t="s">
        <v>1102</v>
      </c>
      <c r="B40" s="1082"/>
      <c r="C40" s="1082"/>
      <c r="D40" s="1076"/>
      <c r="E40" s="1086"/>
      <c r="F40" s="2710"/>
      <c r="G40" s="2728"/>
      <c r="H40" s="2706" t="s">
        <v>110</v>
      </c>
      <c r="I40" s="2717"/>
      <c r="J40" s="2718"/>
      <c r="K40" s="2719"/>
      <c r="L40" s="2445"/>
      <c r="M40" s="2446"/>
      <c r="N40" s="1091"/>
      <c r="O40" s="1092"/>
      <c r="P40" s="1084" t="s">
        <v>1146</v>
      </c>
      <c r="Q40" s="1092"/>
      <c r="R40" s="1092"/>
      <c r="S40" s="1092"/>
      <c r="T40" s="1092"/>
      <c r="U40" s="1092"/>
      <c r="V40" s="1092"/>
      <c r="W40" s="1092"/>
      <c r="X40" s="1092"/>
      <c r="Y40" s="1092"/>
      <c r="Z40" s="1092"/>
      <c r="AA40" s="1092"/>
      <c r="AB40" s="1092"/>
      <c r="AC40" s="1092"/>
      <c r="AD40" s="1092"/>
      <c r="AE40" s="1099"/>
      <c r="AF40" s="2720"/>
      <c r="AG40" s="2721"/>
      <c r="AH40" s="2721"/>
      <c r="AI40" s="2720"/>
      <c r="AJ40" s="2721"/>
      <c r="AK40" s="2721"/>
      <c r="AL40" s="1897"/>
      <c r="AM40" s="1735"/>
      <c r="AN40" s="1735"/>
      <c r="AO40" s="1735"/>
      <c r="AP40" s="1735"/>
      <c r="AQ40" s="1735"/>
      <c r="AR40" s="1735"/>
      <c r="AS40" s="1735"/>
      <c r="AT40" s="1735"/>
      <c r="AU40" s="1735"/>
      <c r="AV40" s="1735"/>
      <c r="AW40" s="1735"/>
      <c r="AX40" s="1735"/>
      <c r="AY40" s="1735"/>
      <c r="AZ40" s="1735"/>
      <c r="BA40" s="1735"/>
      <c r="BB40" s="1735"/>
      <c r="BC40" s="1735"/>
      <c r="BD40" s="1735"/>
      <c r="BE40" s="1735"/>
      <c r="BF40" s="1735"/>
      <c r="BG40" s="2279"/>
    </row>
    <row r="41" spans="1:59" ht="12" customHeight="1">
      <c r="A41" s="1082" t="s">
        <v>1102</v>
      </c>
      <c r="B41" s="1082"/>
      <c r="C41" s="1082"/>
      <c r="D41" s="1076"/>
      <c r="E41" s="1086"/>
      <c r="F41" s="2711"/>
      <c r="G41" s="1106"/>
      <c r="H41" s="1106"/>
      <c r="I41" s="2708" t="s">
        <v>1151</v>
      </c>
      <c r="J41" s="2708"/>
      <c r="K41" s="2708"/>
      <c r="L41" s="1089"/>
      <c r="M41" s="1089"/>
      <c r="N41" s="1090"/>
      <c r="O41" s="1090"/>
      <c r="P41" s="1090"/>
      <c r="Q41" s="1090"/>
      <c r="R41" s="1090"/>
      <c r="S41" s="1090"/>
      <c r="T41" s="1090"/>
      <c r="U41" s="1090"/>
      <c r="V41" s="1090"/>
      <c r="W41" s="1090"/>
      <c r="X41" s="1090"/>
      <c r="Y41" s="1090"/>
      <c r="Z41" s="1090"/>
      <c r="AA41" s="1090"/>
      <c r="AB41" s="1090"/>
      <c r="AC41" s="1090"/>
      <c r="AD41" s="1090"/>
      <c r="AE41" s="1090"/>
      <c r="AF41" s="1090"/>
      <c r="AG41" s="1089"/>
      <c r="AH41" s="1089"/>
      <c r="AI41" s="1090"/>
      <c r="AJ41" s="1089"/>
      <c r="AK41" s="1090"/>
      <c r="AL41" s="1897"/>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2057"/>
    </row>
    <row r="42" spans="1:59" ht="0.75" customHeight="1">
      <c r="A42" s="1082" t="s">
        <v>1102</v>
      </c>
      <c r="B42" s="1082"/>
      <c r="C42" s="1082"/>
      <c r="D42" s="1076"/>
      <c r="E42" s="1086"/>
      <c r="F42" s="2709">
        <v>2022</v>
      </c>
      <c r="G42" s="2706"/>
      <c r="H42" s="2713" t="s">
        <v>375</v>
      </c>
      <c r="I42" s="2714"/>
      <c r="J42" s="2705"/>
      <c r="K42" s="2705"/>
      <c r="L42" s="2707"/>
      <c r="M42" s="2560"/>
      <c r="N42" s="1945"/>
      <c r="O42" s="1944"/>
      <c r="P42" s="1945"/>
      <c r="Q42" s="1945"/>
      <c r="R42" s="1945"/>
      <c r="S42" s="1945"/>
      <c r="T42" s="1945"/>
      <c r="U42" s="1945"/>
      <c r="V42" s="1945"/>
      <c r="W42" s="1945"/>
      <c r="X42" s="1945"/>
      <c r="Y42" s="1945"/>
      <c r="Z42" s="1945"/>
      <c r="AA42" s="1945"/>
      <c r="AB42" s="1945"/>
      <c r="AC42" s="1945"/>
      <c r="AD42" s="1945"/>
      <c r="AE42" s="1945"/>
      <c r="AF42" s="2712"/>
      <c r="AG42" s="2707"/>
      <c r="AH42" s="2707"/>
      <c r="AI42" s="2712"/>
      <c r="AJ42" s="2707"/>
      <c r="AK42" s="2707"/>
      <c r="AL42" s="1897"/>
      <c r="AM42" s="1735"/>
      <c r="AN42" s="1735"/>
      <c r="AO42" s="1735"/>
      <c r="AP42" s="1735"/>
      <c r="AQ42" s="1735"/>
      <c r="AR42" s="1735"/>
      <c r="AS42" s="1735"/>
      <c r="AT42" s="1735"/>
      <c r="AU42" s="1735"/>
      <c r="AV42" s="1735"/>
      <c r="AW42" s="1735"/>
      <c r="AX42" s="1735"/>
      <c r="AY42" s="1735"/>
      <c r="AZ42" s="1735"/>
      <c r="BA42" s="1735"/>
      <c r="BB42" s="1735"/>
      <c r="BC42" s="1735"/>
      <c r="BD42" s="1735"/>
      <c r="BE42" s="1735"/>
      <c r="BF42" s="1735"/>
      <c r="BG42" s="2057"/>
    </row>
    <row r="43" spans="1:59" ht="0.75" customHeight="1">
      <c r="A43" s="1082" t="s">
        <v>1102</v>
      </c>
      <c r="B43" s="1082"/>
      <c r="C43" s="1082"/>
      <c r="D43" s="1076"/>
      <c r="E43" s="1086"/>
      <c r="F43" s="2709"/>
      <c r="G43" s="2706"/>
      <c r="H43" s="2713"/>
      <c r="I43" s="2714"/>
      <c r="J43" s="2705"/>
      <c r="K43" s="2705"/>
      <c r="L43" s="2707"/>
      <c r="M43" s="2560"/>
      <c r="N43" s="2715"/>
      <c r="O43" s="2716"/>
      <c r="P43" s="2702"/>
      <c r="Q43" s="2705"/>
      <c r="R43" s="2705"/>
      <c r="S43" s="2705"/>
      <c r="T43" s="2705"/>
      <c r="U43" s="2705"/>
      <c r="V43" s="2705"/>
      <c r="W43" s="2705"/>
      <c r="X43" s="2705"/>
      <c r="Y43" s="2705"/>
      <c r="Z43" s="1946"/>
      <c r="AA43" s="1947"/>
      <c r="AB43" s="1947"/>
      <c r="AC43" s="1948"/>
      <c r="AD43" s="1948"/>
      <c r="AE43" s="1949"/>
      <c r="AF43" s="2712"/>
      <c r="AG43" s="2707"/>
      <c r="AH43" s="2707"/>
      <c r="AI43" s="2712"/>
      <c r="AJ43" s="2707"/>
      <c r="AK43" s="2707"/>
      <c r="AL43" s="1897"/>
      <c r="AM43" s="1735"/>
      <c r="AN43" s="1735"/>
      <c r="AO43" s="1735"/>
      <c r="AP43" s="1735"/>
      <c r="AQ43" s="1735"/>
      <c r="AR43" s="1735"/>
      <c r="AS43" s="1735"/>
      <c r="AT43" s="1735"/>
      <c r="AU43" s="1735"/>
      <c r="AV43" s="1735"/>
      <c r="AW43" s="1735"/>
      <c r="AX43" s="1735"/>
      <c r="AY43" s="1735"/>
      <c r="AZ43" s="1735"/>
      <c r="BA43" s="1735"/>
      <c r="BB43" s="1735"/>
      <c r="BC43" s="1735"/>
      <c r="BD43" s="1735"/>
      <c r="BE43" s="1735"/>
      <c r="BF43" s="1735"/>
      <c r="BG43" s="2057"/>
    </row>
    <row r="44" spans="1:59" ht="0.75" customHeight="1">
      <c r="A44" s="1082" t="s">
        <v>1102</v>
      </c>
      <c r="B44" s="1082"/>
      <c r="C44" s="1082"/>
      <c r="D44" s="1076"/>
      <c r="E44" s="1086"/>
      <c r="F44" s="2709"/>
      <c r="G44" s="2706"/>
      <c r="H44" s="2713"/>
      <c r="I44" s="2714"/>
      <c r="J44" s="2705"/>
      <c r="K44" s="2705"/>
      <c r="L44" s="2707"/>
      <c r="M44" s="2560"/>
      <c r="N44" s="2715"/>
      <c r="O44" s="2716"/>
      <c r="P44" s="2703"/>
      <c r="Q44" s="2705"/>
      <c r="R44" s="2705"/>
      <c r="S44" s="2705"/>
      <c r="T44" s="2705"/>
      <c r="U44" s="2705"/>
      <c r="V44" s="2705"/>
      <c r="W44" s="2705"/>
      <c r="X44" s="2705"/>
      <c r="Y44" s="2705"/>
      <c r="Z44" s="1950"/>
      <c r="AA44" s="1951"/>
      <c r="AB44" s="1952"/>
      <c r="AC44" s="1953"/>
      <c r="AD44" s="1952"/>
      <c r="AE44" s="1953"/>
      <c r="AF44" s="2712"/>
      <c r="AG44" s="2707"/>
      <c r="AH44" s="2707"/>
      <c r="AI44" s="2712"/>
      <c r="AJ44" s="2707"/>
      <c r="AK44" s="2707"/>
      <c r="AL44" s="1897"/>
      <c r="AM44" s="1735"/>
      <c r="AN44" s="1735"/>
      <c r="AO44" s="1735"/>
      <c r="AP44" s="1735"/>
      <c r="AQ44" s="1735"/>
      <c r="AR44" s="1735"/>
      <c r="AS44" s="1735"/>
      <c r="AT44" s="1735"/>
      <c r="AU44" s="1735"/>
      <c r="AV44" s="1735"/>
      <c r="AW44" s="1735"/>
      <c r="AX44" s="1735"/>
      <c r="AY44" s="1735"/>
      <c r="AZ44" s="1735"/>
      <c r="BA44" s="1735"/>
      <c r="BB44" s="1735"/>
      <c r="BC44" s="1735"/>
      <c r="BD44" s="1735"/>
      <c r="BE44" s="1735"/>
      <c r="BF44" s="1735"/>
      <c r="BG44" s="2057"/>
    </row>
    <row r="45" spans="1:59" ht="0.75" customHeight="1">
      <c r="A45" s="1082" t="s">
        <v>1102</v>
      </c>
      <c r="B45" s="1082"/>
      <c r="C45" s="1082"/>
      <c r="D45" s="1076"/>
      <c r="E45" s="1086"/>
      <c r="F45" s="2709"/>
      <c r="G45" s="2706"/>
      <c r="H45" s="2713"/>
      <c r="I45" s="2714"/>
      <c r="J45" s="2705"/>
      <c r="K45" s="2705"/>
      <c r="L45" s="2707"/>
      <c r="M45" s="2560"/>
      <c r="N45" s="2715"/>
      <c r="O45" s="2716"/>
      <c r="P45" s="2704"/>
      <c r="Q45" s="2705"/>
      <c r="R45" s="2705"/>
      <c r="S45" s="2705"/>
      <c r="T45" s="2705"/>
      <c r="U45" s="2705"/>
      <c r="V45" s="2705"/>
      <c r="W45" s="2705"/>
      <c r="X45" s="2705"/>
      <c r="Y45" s="2705"/>
      <c r="Z45" s="1946"/>
      <c r="AA45" s="1947"/>
      <c r="AB45" s="1954"/>
      <c r="AC45" s="1948"/>
      <c r="AD45" s="1948"/>
      <c r="AE45" s="1955"/>
      <c r="AF45" s="2712"/>
      <c r="AG45" s="2707"/>
      <c r="AH45" s="2707"/>
      <c r="AI45" s="2712"/>
      <c r="AJ45" s="2707"/>
      <c r="AK45" s="2707"/>
      <c r="AL45" s="1897"/>
      <c r="AM45" s="1735"/>
      <c r="AN45" s="1735"/>
      <c r="AO45" s="1735"/>
      <c r="AP45" s="1735"/>
      <c r="AQ45" s="1735"/>
      <c r="AR45" s="1735"/>
      <c r="AS45" s="1735"/>
      <c r="AT45" s="1735"/>
      <c r="AU45" s="1735"/>
      <c r="AV45" s="1735"/>
      <c r="AW45" s="1735"/>
      <c r="AX45" s="1735"/>
      <c r="AY45" s="1735"/>
      <c r="AZ45" s="1735"/>
      <c r="BA45" s="1735"/>
      <c r="BB45" s="1735"/>
      <c r="BC45" s="1735"/>
      <c r="BD45" s="1735"/>
      <c r="BE45" s="1735"/>
      <c r="BF45" s="1735"/>
      <c r="BG45" s="2057"/>
    </row>
    <row r="46" spans="1:59" ht="0.75" customHeight="1">
      <c r="A46" s="1082" t="s">
        <v>1102</v>
      </c>
      <c r="B46" s="1082"/>
      <c r="C46" s="1082"/>
      <c r="D46" s="1076"/>
      <c r="E46" s="1086"/>
      <c r="F46" s="2709"/>
      <c r="G46" s="2706"/>
      <c r="H46" s="2713"/>
      <c r="I46" s="2714"/>
      <c r="J46" s="2705"/>
      <c r="K46" s="2705"/>
      <c r="L46" s="2707"/>
      <c r="M46" s="2560"/>
      <c r="N46" s="1947"/>
      <c r="O46" s="1947"/>
      <c r="P46" s="1954"/>
      <c r="Q46" s="1947"/>
      <c r="R46" s="1947"/>
      <c r="S46" s="1947"/>
      <c r="T46" s="1947"/>
      <c r="U46" s="1947"/>
      <c r="V46" s="1947"/>
      <c r="W46" s="1947"/>
      <c r="X46" s="1947"/>
      <c r="Y46" s="1947"/>
      <c r="Z46" s="1947"/>
      <c r="AA46" s="1947"/>
      <c r="AB46" s="1947"/>
      <c r="AC46" s="1947"/>
      <c r="AD46" s="1947"/>
      <c r="AE46" s="1956"/>
      <c r="AF46" s="2712"/>
      <c r="AG46" s="2707"/>
      <c r="AH46" s="2707"/>
      <c r="AI46" s="2712"/>
      <c r="AJ46" s="2707"/>
      <c r="AK46" s="2707"/>
      <c r="AL46" s="1897"/>
      <c r="AM46" s="1735"/>
      <c r="AN46" s="1735"/>
      <c r="AO46" s="1735"/>
      <c r="AP46" s="1735"/>
      <c r="AQ46" s="1735"/>
      <c r="AR46" s="1735"/>
      <c r="AS46" s="1735"/>
      <c r="AT46" s="1735"/>
      <c r="AU46" s="1735"/>
      <c r="AV46" s="1735"/>
      <c r="AW46" s="1735"/>
      <c r="AX46" s="1735"/>
      <c r="AY46" s="1735"/>
      <c r="AZ46" s="1735"/>
      <c r="BA46" s="1735"/>
      <c r="BB46" s="1735"/>
      <c r="BC46" s="1735"/>
      <c r="BD46" s="1735"/>
      <c r="BE46" s="1735"/>
      <c r="BF46" s="1735"/>
      <c r="BG46" s="2057"/>
    </row>
    <row r="47" spans="1:59" ht="11.25" customHeight="1">
      <c r="A47" s="1082" t="s">
        <v>1102</v>
      </c>
      <c r="B47" s="1082"/>
      <c r="C47" s="1082"/>
      <c r="D47" s="1076"/>
      <c r="E47" s="1086"/>
      <c r="F47" s="2710"/>
      <c r="G47" s="2695" t="s">
        <v>568</v>
      </c>
      <c r="H47" s="2706" t="s">
        <v>109</v>
      </c>
      <c r="I47" s="2717"/>
      <c r="J47" s="2718"/>
      <c r="K47" s="2719" t="s">
        <v>1155</v>
      </c>
      <c r="L47" s="2445" t="s">
        <v>19</v>
      </c>
      <c r="M47" s="2446"/>
      <c r="N47" s="1895"/>
      <c r="O47" s="1093" t="s">
        <v>375</v>
      </c>
      <c r="P47" s="1094"/>
      <c r="Q47" s="1094"/>
      <c r="R47" s="1094"/>
      <c r="S47" s="1094"/>
      <c r="T47" s="1094"/>
      <c r="U47" s="1094"/>
      <c r="V47" s="1094"/>
      <c r="W47" s="1094"/>
      <c r="X47" s="1094"/>
      <c r="Y47" s="1094"/>
      <c r="Z47" s="1094"/>
      <c r="AA47" s="1094"/>
      <c r="AB47" s="1094"/>
      <c r="AC47" s="1094"/>
      <c r="AD47" s="1094"/>
      <c r="AE47" s="1094"/>
      <c r="AF47" s="2720">
        <v>2022</v>
      </c>
      <c r="AG47" s="2721" t="s">
        <v>1135</v>
      </c>
      <c r="AH47" s="2721" t="s">
        <v>1156</v>
      </c>
      <c r="AI47" s="2720">
        <v>2022</v>
      </c>
      <c r="AJ47" s="2721" t="s">
        <v>1135</v>
      </c>
      <c r="AK47" s="2721" t="s">
        <v>1156</v>
      </c>
      <c r="AL47" s="1897"/>
      <c r="AM47" s="1735"/>
      <c r="AN47" s="1735"/>
      <c r="AO47" s="1735"/>
      <c r="AP47" s="1735"/>
      <c r="AQ47" s="1735"/>
      <c r="AR47" s="1735"/>
      <c r="AS47" s="1735"/>
      <c r="AT47" s="1735"/>
      <c r="AU47" s="1735"/>
      <c r="AV47" s="1735"/>
      <c r="AW47" s="1735"/>
      <c r="AX47" s="1735"/>
      <c r="AY47" s="1735"/>
      <c r="AZ47" s="1735"/>
      <c r="BA47" s="1735"/>
      <c r="BB47" s="1735"/>
      <c r="BC47" s="1735"/>
      <c r="BD47" s="1735"/>
      <c r="BE47" s="1735"/>
      <c r="BF47" s="1735"/>
      <c r="BG47" s="2057"/>
    </row>
    <row r="48" spans="1:59" ht="11.25" customHeight="1">
      <c r="A48" s="1082" t="s">
        <v>1102</v>
      </c>
      <c r="B48" s="1082"/>
      <c r="C48" s="1082"/>
      <c r="D48" s="1076"/>
      <c r="E48" s="1086"/>
      <c r="F48" s="2710"/>
      <c r="G48" s="2728"/>
      <c r="H48" s="2706" t="s">
        <v>375</v>
      </c>
      <c r="I48" s="2717"/>
      <c r="J48" s="2718"/>
      <c r="K48" s="2719"/>
      <c r="L48" s="2445"/>
      <c r="M48" s="2446"/>
      <c r="N48" s="2722"/>
      <c r="O48" s="2723">
        <v>1</v>
      </c>
      <c r="P48" s="2724" t="s">
        <v>62</v>
      </c>
      <c r="Q48" s="2718" t="s">
        <v>670</v>
      </c>
      <c r="R48" s="2727" t="s">
        <v>1139</v>
      </c>
      <c r="S48" s="2727" t="s">
        <v>100</v>
      </c>
      <c r="T48" s="2727" t="s">
        <v>100</v>
      </c>
      <c r="U48" s="2727" t="s">
        <v>101</v>
      </c>
      <c r="V48" s="2727" t="s">
        <v>1140</v>
      </c>
      <c r="W48" s="2727" t="s">
        <v>1141</v>
      </c>
      <c r="X48" s="2727" t="s">
        <v>1157</v>
      </c>
      <c r="Y48" s="2727" t="s">
        <v>93</v>
      </c>
      <c r="Z48" s="1091"/>
      <c r="AA48" s="1092"/>
      <c r="AB48" s="1092"/>
      <c r="AC48" s="1096"/>
      <c r="AD48" s="1096"/>
      <c r="AE48" s="1097"/>
      <c r="AF48" s="2720"/>
      <c r="AG48" s="2721"/>
      <c r="AH48" s="2721"/>
      <c r="AI48" s="2720"/>
      <c r="AJ48" s="2721"/>
      <c r="AK48" s="2721"/>
      <c r="AL48" s="1897"/>
      <c r="AM48" s="1735"/>
      <c r="AN48" s="1735"/>
      <c r="AO48" s="1735"/>
      <c r="AP48" s="1735"/>
      <c r="AQ48" s="1735"/>
      <c r="AR48" s="1735"/>
      <c r="AS48" s="1735"/>
      <c r="AT48" s="1735"/>
      <c r="AU48" s="1735"/>
      <c r="AV48" s="1735"/>
      <c r="AW48" s="1735"/>
      <c r="AX48" s="1735"/>
      <c r="AY48" s="1735"/>
      <c r="AZ48" s="1735"/>
      <c r="BA48" s="1735"/>
      <c r="BB48" s="1735"/>
      <c r="BC48" s="1735"/>
      <c r="BD48" s="1735"/>
      <c r="BE48" s="1735"/>
      <c r="BF48" s="1735"/>
      <c r="BG48" s="2057"/>
    </row>
    <row r="49" spans="1:59" ht="11.25" customHeight="1">
      <c r="A49" s="1082" t="s">
        <v>1102</v>
      </c>
      <c r="B49" s="1082"/>
      <c r="C49" s="1082"/>
      <c r="D49" s="1076"/>
      <c r="E49" s="1086"/>
      <c r="F49" s="2710"/>
      <c r="G49" s="2728"/>
      <c r="H49" s="2706" t="s">
        <v>375</v>
      </c>
      <c r="I49" s="2717"/>
      <c r="J49" s="2718"/>
      <c r="K49" s="2719"/>
      <c r="L49" s="2445"/>
      <c r="M49" s="2446"/>
      <c r="N49" s="2722"/>
      <c r="O49" s="2723"/>
      <c r="P49" s="2725"/>
      <c r="Q49" s="2718"/>
      <c r="R49" s="2678"/>
      <c r="S49" s="2727"/>
      <c r="T49" s="2678"/>
      <c r="U49" s="2678"/>
      <c r="V49" s="2678"/>
      <c r="W49" s="2678"/>
      <c r="X49" s="2678"/>
      <c r="Y49" s="2678"/>
      <c r="Z49" s="1740"/>
      <c r="AA49" s="1708">
        <v>1</v>
      </c>
      <c r="AB49" s="1095" t="s">
        <v>1154</v>
      </c>
      <c r="AC49" s="1085">
        <v>15343.65</v>
      </c>
      <c r="AD49" s="1095" t="str">
        <f>AB49</f>
        <v xml:space="preserve">  Прибыль направляемая на инвестиции</v>
      </c>
      <c r="AE49" s="1085">
        <v>16363.97</v>
      </c>
      <c r="AF49" s="2720"/>
      <c r="AG49" s="2721"/>
      <c r="AH49" s="2721"/>
      <c r="AI49" s="2720"/>
      <c r="AJ49" s="2721"/>
      <c r="AK49" s="2721"/>
      <c r="AL49" s="1897"/>
      <c r="AM49" s="1735"/>
      <c r="AN49" s="1735"/>
      <c r="AO49" s="1735"/>
      <c r="AP49" s="1735"/>
      <c r="AQ49" s="1735"/>
      <c r="AR49" s="1735"/>
      <c r="AS49" s="1735"/>
      <c r="AT49" s="1735"/>
      <c r="AU49" s="1735"/>
      <c r="AV49" s="1735"/>
      <c r="AW49" s="1735"/>
      <c r="AX49" s="1735"/>
      <c r="AY49" s="1735"/>
      <c r="AZ49" s="1735"/>
      <c r="BA49" s="1735"/>
      <c r="BB49" s="1735"/>
      <c r="BC49" s="1735"/>
      <c r="BD49" s="1735"/>
      <c r="BE49" s="1735"/>
      <c r="BF49" s="1735"/>
      <c r="BG49" s="2057"/>
    </row>
    <row r="50" spans="1:59" ht="11.25" customHeight="1">
      <c r="A50" s="1082" t="s">
        <v>1102</v>
      </c>
      <c r="B50" s="1082"/>
      <c r="C50" s="1082"/>
      <c r="D50" s="1076"/>
      <c r="E50" s="1086"/>
      <c r="F50" s="2710"/>
      <c r="G50" s="2728"/>
      <c r="H50" s="2706" t="s">
        <v>375</v>
      </c>
      <c r="I50" s="2717"/>
      <c r="J50" s="2718"/>
      <c r="K50" s="2719"/>
      <c r="L50" s="2445"/>
      <c r="M50" s="2446"/>
      <c r="N50" s="2722"/>
      <c r="O50" s="2723"/>
      <c r="P50" s="2726"/>
      <c r="Q50" s="2718"/>
      <c r="R50" s="2678"/>
      <c r="S50" s="2727"/>
      <c r="T50" s="2678"/>
      <c r="U50" s="2678"/>
      <c r="V50" s="2678"/>
      <c r="W50" s="2678"/>
      <c r="X50" s="2678"/>
      <c r="Y50" s="2678"/>
      <c r="Z50" s="1091"/>
      <c r="AA50" s="1092"/>
      <c r="AB50" s="1157" t="s">
        <v>1145</v>
      </c>
      <c r="AC50" s="1096"/>
      <c r="AD50" s="1096"/>
      <c r="AE50" s="1098"/>
      <c r="AF50" s="2720"/>
      <c r="AG50" s="2721"/>
      <c r="AH50" s="2721"/>
      <c r="AI50" s="2720"/>
      <c r="AJ50" s="2721"/>
      <c r="AK50" s="2721"/>
      <c r="AL50" s="1897"/>
      <c r="AM50" s="1735"/>
      <c r="AN50" s="1735"/>
      <c r="AO50" s="1735"/>
      <c r="AP50" s="1735"/>
      <c r="AQ50" s="1735"/>
      <c r="AR50" s="1735"/>
      <c r="AS50" s="1735"/>
      <c r="AT50" s="1735"/>
      <c r="AU50" s="1735"/>
      <c r="AV50" s="1735"/>
      <c r="AW50" s="1735"/>
      <c r="AX50" s="1735"/>
      <c r="AY50" s="1735"/>
      <c r="AZ50" s="1735"/>
      <c r="BA50" s="1735"/>
      <c r="BB50" s="1735"/>
      <c r="BC50" s="1735"/>
      <c r="BD50" s="1735"/>
      <c r="BE50" s="1735"/>
      <c r="BF50" s="1735"/>
      <c r="BG50" s="2057"/>
    </row>
    <row r="51" spans="1:59" ht="5.25" customHeight="1">
      <c r="A51" s="1082" t="s">
        <v>1102</v>
      </c>
      <c r="B51" s="1082"/>
      <c r="C51" s="1082"/>
      <c r="D51" s="1076"/>
      <c r="E51" s="1086"/>
      <c r="F51" s="2710"/>
      <c r="G51" s="2728"/>
      <c r="H51" s="2706" t="s">
        <v>375</v>
      </c>
      <c r="I51" s="2717"/>
      <c r="J51" s="2718"/>
      <c r="K51" s="2719"/>
      <c r="L51" s="2445"/>
      <c r="M51" s="2446"/>
      <c r="N51" s="1091"/>
      <c r="O51" s="1092"/>
      <c r="P51" s="1084" t="s">
        <v>1146</v>
      </c>
      <c r="Q51" s="1092"/>
      <c r="R51" s="1092"/>
      <c r="S51" s="1092"/>
      <c r="T51" s="1092"/>
      <c r="U51" s="1092"/>
      <c r="V51" s="1092"/>
      <c r="W51" s="1092"/>
      <c r="X51" s="1092"/>
      <c r="Y51" s="1092"/>
      <c r="Z51" s="1092"/>
      <c r="AA51" s="1092"/>
      <c r="AB51" s="1092"/>
      <c r="AC51" s="1092"/>
      <c r="AD51" s="1092"/>
      <c r="AE51" s="1099"/>
      <c r="AF51" s="2720"/>
      <c r="AG51" s="2721"/>
      <c r="AH51" s="2721"/>
      <c r="AI51" s="2720"/>
      <c r="AJ51" s="2721"/>
      <c r="AK51" s="2721"/>
      <c r="AL51" s="1897"/>
      <c r="AM51" s="1735"/>
      <c r="AN51" s="1735"/>
      <c r="AO51" s="1735"/>
      <c r="AP51" s="1735"/>
      <c r="AQ51" s="1735"/>
      <c r="AR51" s="1735"/>
      <c r="AS51" s="1735"/>
      <c r="AT51" s="1735"/>
      <c r="AU51" s="1735"/>
      <c r="AV51" s="1735"/>
      <c r="AW51" s="1735"/>
      <c r="AX51" s="1735"/>
      <c r="AY51" s="1735"/>
      <c r="AZ51" s="1735"/>
      <c r="BA51" s="1735"/>
      <c r="BB51" s="1735"/>
      <c r="BC51" s="1735"/>
      <c r="BD51" s="1735"/>
      <c r="BE51" s="1735"/>
      <c r="BF51" s="1735"/>
      <c r="BG51" s="2057"/>
    </row>
    <row r="52" spans="1:59" ht="12" customHeight="1">
      <c r="A52" s="1082" t="s">
        <v>1102</v>
      </c>
      <c r="B52" s="1082"/>
      <c r="C52" s="1082"/>
      <c r="D52" s="1076"/>
      <c r="E52" s="1086"/>
      <c r="F52" s="2711"/>
      <c r="G52" s="1106"/>
      <c r="H52" s="1106"/>
      <c r="I52" s="2708" t="s">
        <v>1151</v>
      </c>
      <c r="J52" s="2708"/>
      <c r="K52" s="2708"/>
      <c r="L52" s="1089"/>
      <c r="M52" s="1089"/>
      <c r="N52" s="1090"/>
      <c r="O52" s="1090"/>
      <c r="P52" s="1090"/>
      <c r="Q52" s="1090"/>
      <c r="R52" s="1090"/>
      <c r="S52" s="1090"/>
      <c r="T52" s="1090"/>
      <c r="U52" s="1090"/>
      <c r="V52" s="1090"/>
      <c r="W52" s="1090"/>
      <c r="X52" s="1090"/>
      <c r="Y52" s="1090"/>
      <c r="Z52" s="1090"/>
      <c r="AA52" s="1090"/>
      <c r="AB52" s="1090"/>
      <c r="AC52" s="1090"/>
      <c r="AD52" s="1090"/>
      <c r="AE52" s="1090"/>
      <c r="AF52" s="1090"/>
      <c r="AG52" s="1089"/>
      <c r="AH52" s="1089"/>
      <c r="AI52" s="1090"/>
      <c r="AJ52" s="1089"/>
      <c r="AK52" s="1090"/>
      <c r="AL52" s="1897"/>
      <c r="AM52" s="1735"/>
      <c r="AN52" s="1735"/>
      <c r="AO52" s="1735"/>
      <c r="AP52" s="1735"/>
      <c r="AQ52" s="1735"/>
      <c r="AR52" s="1735"/>
      <c r="AS52" s="1735"/>
      <c r="AT52" s="1735"/>
      <c r="AU52" s="1735"/>
      <c r="AV52" s="1735"/>
      <c r="AW52" s="1735"/>
      <c r="AX52" s="1735"/>
      <c r="AY52" s="1735"/>
      <c r="AZ52" s="1735"/>
      <c r="BA52" s="1735"/>
      <c r="BB52" s="1735"/>
      <c r="BC52" s="1735"/>
      <c r="BD52" s="1735"/>
      <c r="BE52" s="1735"/>
      <c r="BF52" s="1735"/>
      <c r="BG52" s="2057"/>
    </row>
    <row r="53" spans="1:59" ht="0.75" customHeight="1">
      <c r="A53" s="1082" t="s">
        <v>1102</v>
      </c>
      <c r="B53" s="1082"/>
      <c r="C53" s="1082"/>
      <c r="D53" s="1076"/>
      <c r="E53" s="1086"/>
      <c r="F53" s="2709">
        <v>2023</v>
      </c>
      <c r="G53" s="2706"/>
      <c r="H53" s="2713" t="s">
        <v>375</v>
      </c>
      <c r="I53" s="2714"/>
      <c r="J53" s="2705"/>
      <c r="K53" s="2705"/>
      <c r="L53" s="2707"/>
      <c r="M53" s="2560"/>
      <c r="N53" s="1945"/>
      <c r="O53" s="1944"/>
      <c r="P53" s="1945"/>
      <c r="Q53" s="1945"/>
      <c r="R53" s="1945"/>
      <c r="S53" s="1945"/>
      <c r="T53" s="1945"/>
      <c r="U53" s="1945"/>
      <c r="V53" s="1945"/>
      <c r="W53" s="1945"/>
      <c r="X53" s="1945"/>
      <c r="Y53" s="1945"/>
      <c r="Z53" s="1945"/>
      <c r="AA53" s="1945"/>
      <c r="AB53" s="1945"/>
      <c r="AC53" s="1945"/>
      <c r="AD53" s="1945"/>
      <c r="AE53" s="1945"/>
      <c r="AF53" s="2712"/>
      <c r="AG53" s="2707"/>
      <c r="AH53" s="2707"/>
      <c r="AI53" s="2712"/>
      <c r="AJ53" s="2707"/>
      <c r="AK53" s="2707"/>
      <c r="AL53" s="1897"/>
      <c r="AM53" s="1735"/>
      <c r="AN53" s="1735"/>
      <c r="AO53" s="1735"/>
      <c r="AP53" s="1735"/>
      <c r="AQ53" s="1735"/>
      <c r="AR53" s="1735"/>
      <c r="AS53" s="1735"/>
      <c r="AT53" s="1735"/>
      <c r="AU53" s="1735"/>
      <c r="AV53" s="1735"/>
      <c r="AW53" s="1735"/>
      <c r="AX53" s="1735"/>
      <c r="AY53" s="1735"/>
      <c r="AZ53" s="1735"/>
      <c r="BA53" s="1735"/>
      <c r="BB53" s="1735"/>
      <c r="BC53" s="1735"/>
      <c r="BD53" s="1735"/>
      <c r="BE53" s="1735"/>
      <c r="BF53" s="1735"/>
      <c r="BG53" s="2057"/>
    </row>
    <row r="54" spans="1:59" ht="0.75" customHeight="1">
      <c r="A54" s="1082" t="s">
        <v>1102</v>
      </c>
      <c r="B54" s="1082"/>
      <c r="C54" s="1082"/>
      <c r="D54" s="1076"/>
      <c r="E54" s="1086"/>
      <c r="F54" s="2709"/>
      <c r="G54" s="2706"/>
      <c r="H54" s="2713"/>
      <c r="I54" s="2714"/>
      <c r="J54" s="2705"/>
      <c r="K54" s="2705"/>
      <c r="L54" s="2707"/>
      <c r="M54" s="2560"/>
      <c r="N54" s="2715"/>
      <c r="O54" s="2716"/>
      <c r="P54" s="2702"/>
      <c r="Q54" s="2705"/>
      <c r="R54" s="2705"/>
      <c r="S54" s="2705"/>
      <c r="T54" s="2705"/>
      <c r="U54" s="2705"/>
      <c r="V54" s="2705"/>
      <c r="W54" s="2705"/>
      <c r="X54" s="2705"/>
      <c r="Y54" s="2705"/>
      <c r="Z54" s="1946"/>
      <c r="AA54" s="1947"/>
      <c r="AB54" s="1947"/>
      <c r="AC54" s="1948"/>
      <c r="AD54" s="1948"/>
      <c r="AE54" s="1949"/>
      <c r="AF54" s="2712"/>
      <c r="AG54" s="2707"/>
      <c r="AH54" s="2707"/>
      <c r="AI54" s="2712"/>
      <c r="AJ54" s="2707"/>
      <c r="AK54" s="2707"/>
      <c r="AL54" s="1897"/>
      <c r="AM54" s="1735"/>
      <c r="AN54" s="1735"/>
      <c r="AO54" s="1735"/>
      <c r="AP54" s="1735"/>
      <c r="AQ54" s="1735"/>
      <c r="AR54" s="1735"/>
      <c r="AS54" s="1735"/>
      <c r="AT54" s="1735"/>
      <c r="AU54" s="1735"/>
      <c r="AV54" s="1735"/>
      <c r="AW54" s="1735"/>
      <c r="AX54" s="1735"/>
      <c r="AY54" s="1735"/>
      <c r="AZ54" s="1735"/>
      <c r="BA54" s="1735"/>
      <c r="BB54" s="1735"/>
      <c r="BC54" s="1735"/>
      <c r="BD54" s="1735"/>
      <c r="BE54" s="1735"/>
      <c r="BF54" s="1735"/>
      <c r="BG54" s="2057"/>
    </row>
    <row r="55" spans="1:59" ht="0.75" customHeight="1">
      <c r="A55" s="1082" t="s">
        <v>1102</v>
      </c>
      <c r="B55" s="1082"/>
      <c r="C55" s="1082"/>
      <c r="D55" s="1076"/>
      <c r="E55" s="1086"/>
      <c r="F55" s="2709"/>
      <c r="G55" s="2706"/>
      <c r="H55" s="2713"/>
      <c r="I55" s="2714"/>
      <c r="J55" s="2705"/>
      <c r="K55" s="2705"/>
      <c r="L55" s="2707"/>
      <c r="M55" s="2560"/>
      <c r="N55" s="2715"/>
      <c r="O55" s="2716"/>
      <c r="P55" s="2703"/>
      <c r="Q55" s="2705"/>
      <c r="R55" s="2705"/>
      <c r="S55" s="2705"/>
      <c r="T55" s="2705"/>
      <c r="U55" s="2705"/>
      <c r="V55" s="2705"/>
      <c r="W55" s="2705"/>
      <c r="X55" s="2705"/>
      <c r="Y55" s="2705"/>
      <c r="Z55" s="1950"/>
      <c r="AA55" s="1951"/>
      <c r="AB55" s="1952"/>
      <c r="AC55" s="1953"/>
      <c r="AD55" s="1952"/>
      <c r="AE55" s="1953"/>
      <c r="AF55" s="2712"/>
      <c r="AG55" s="2707"/>
      <c r="AH55" s="2707"/>
      <c r="AI55" s="2712"/>
      <c r="AJ55" s="2707"/>
      <c r="AK55" s="2707"/>
      <c r="AL55" s="1897"/>
      <c r="AM55" s="1735"/>
      <c r="AN55" s="1735"/>
      <c r="AO55" s="1735"/>
      <c r="AP55" s="1735"/>
      <c r="AQ55" s="1735"/>
      <c r="AR55" s="1735"/>
      <c r="AS55" s="1735"/>
      <c r="AT55" s="1735"/>
      <c r="AU55" s="1735"/>
      <c r="AV55" s="1735"/>
      <c r="AW55" s="1735"/>
      <c r="AX55" s="1735"/>
      <c r="AY55" s="1735"/>
      <c r="AZ55" s="1735"/>
      <c r="BA55" s="1735"/>
      <c r="BB55" s="1735"/>
      <c r="BC55" s="1735"/>
      <c r="BD55" s="1735"/>
      <c r="BE55" s="1735"/>
      <c r="BF55" s="1735"/>
      <c r="BG55" s="2057"/>
    </row>
    <row r="56" spans="1:59" ht="0.75" customHeight="1">
      <c r="A56" s="1082" t="s">
        <v>1102</v>
      </c>
      <c r="B56" s="1082"/>
      <c r="C56" s="1082"/>
      <c r="D56" s="1076"/>
      <c r="E56" s="1086"/>
      <c r="F56" s="2709"/>
      <c r="G56" s="2706"/>
      <c r="H56" s="2713"/>
      <c r="I56" s="2714"/>
      <c r="J56" s="2705"/>
      <c r="K56" s="2705"/>
      <c r="L56" s="2707"/>
      <c r="M56" s="2560"/>
      <c r="N56" s="2715"/>
      <c r="O56" s="2716"/>
      <c r="P56" s="2704"/>
      <c r="Q56" s="2705"/>
      <c r="R56" s="2705"/>
      <c r="S56" s="2705"/>
      <c r="T56" s="2705"/>
      <c r="U56" s="2705"/>
      <c r="V56" s="2705"/>
      <c r="W56" s="2705"/>
      <c r="X56" s="2705"/>
      <c r="Y56" s="2705"/>
      <c r="Z56" s="1946"/>
      <c r="AA56" s="1947"/>
      <c r="AB56" s="1954"/>
      <c r="AC56" s="1948"/>
      <c r="AD56" s="1948"/>
      <c r="AE56" s="1955"/>
      <c r="AF56" s="2712"/>
      <c r="AG56" s="2707"/>
      <c r="AH56" s="2707"/>
      <c r="AI56" s="2712"/>
      <c r="AJ56" s="2707"/>
      <c r="AK56" s="2707"/>
      <c r="AL56" s="1897"/>
      <c r="AM56" s="1735"/>
      <c r="AN56" s="1735"/>
      <c r="AO56" s="1735"/>
      <c r="AP56" s="1735"/>
      <c r="AQ56" s="1735"/>
      <c r="AR56" s="1735"/>
      <c r="AS56" s="1735"/>
      <c r="AT56" s="1735"/>
      <c r="AU56" s="1735"/>
      <c r="AV56" s="1735"/>
      <c r="AW56" s="1735"/>
      <c r="AX56" s="1735"/>
      <c r="AY56" s="1735"/>
      <c r="AZ56" s="1735"/>
      <c r="BA56" s="1735"/>
      <c r="BB56" s="1735"/>
      <c r="BC56" s="1735"/>
      <c r="BD56" s="1735"/>
      <c r="BE56" s="1735"/>
      <c r="BF56" s="1735"/>
      <c r="BG56" s="2057"/>
    </row>
    <row r="57" spans="1:59" ht="44.25" customHeight="1">
      <c r="A57" s="1082" t="s">
        <v>1102</v>
      </c>
      <c r="B57" s="1082"/>
      <c r="C57" s="1082"/>
      <c r="D57" s="1076"/>
      <c r="E57" s="1086"/>
      <c r="F57" s="2709"/>
      <c r="G57" s="2706"/>
      <c r="H57" s="2713"/>
      <c r="I57" s="2714"/>
      <c r="J57" s="2705"/>
      <c r="K57" s="2705"/>
      <c r="L57" s="2707"/>
      <c r="M57" s="2560"/>
      <c r="N57" s="1947"/>
      <c r="O57" s="1947"/>
      <c r="P57" s="1954"/>
      <c r="Q57" s="1947"/>
      <c r="R57" s="1947"/>
      <c r="S57" s="1947"/>
      <c r="T57" s="1947"/>
      <c r="U57" s="1947"/>
      <c r="V57" s="1947"/>
      <c r="W57" s="1947"/>
      <c r="X57" s="1947"/>
      <c r="Y57" s="1947"/>
      <c r="Z57" s="1947"/>
      <c r="AA57" s="1947"/>
      <c r="AB57" s="1947"/>
      <c r="AC57" s="1947"/>
      <c r="AD57" s="1947"/>
      <c r="AE57" s="1956"/>
      <c r="AF57" s="2712"/>
      <c r="AG57" s="2707"/>
      <c r="AH57" s="2707"/>
      <c r="AI57" s="2712"/>
      <c r="AJ57" s="2707"/>
      <c r="AK57" s="2707"/>
      <c r="AL57" s="1897"/>
      <c r="AM57" s="1735"/>
      <c r="AN57" s="1735"/>
      <c r="AO57" s="1735"/>
      <c r="AP57" s="1735"/>
      <c r="AQ57" s="1735"/>
      <c r="AR57" s="1735"/>
      <c r="AS57" s="1735"/>
      <c r="AT57" s="1735"/>
      <c r="AU57" s="1735"/>
      <c r="AV57" s="1735"/>
      <c r="AW57" s="1735"/>
      <c r="AX57" s="1735"/>
      <c r="AY57" s="1735"/>
      <c r="AZ57" s="1735"/>
      <c r="BA57" s="1735"/>
      <c r="BB57" s="1735"/>
      <c r="BC57" s="1735"/>
      <c r="BD57" s="1735"/>
      <c r="BE57" s="1735"/>
      <c r="BF57" s="1735"/>
      <c r="BG57" s="2057"/>
    </row>
    <row r="58" spans="1:59" ht="27.75" customHeight="1">
      <c r="A58" s="1082" t="s">
        <v>1102</v>
      </c>
      <c r="B58" s="1082"/>
      <c r="C58" s="1082"/>
      <c r="D58" s="1076"/>
      <c r="E58" s="1086"/>
      <c r="F58" s="2710"/>
      <c r="G58" s="2695" t="s">
        <v>568</v>
      </c>
      <c r="H58" s="2706" t="s">
        <v>109</v>
      </c>
      <c r="I58" s="2717"/>
      <c r="J58" s="2718"/>
      <c r="K58" s="2719" t="s">
        <v>1158</v>
      </c>
      <c r="L58" s="2445" t="s">
        <v>19</v>
      </c>
      <c r="M58" s="2446"/>
      <c r="N58" s="1895"/>
      <c r="O58" s="1093" t="s">
        <v>375</v>
      </c>
      <c r="P58" s="1094"/>
      <c r="Q58" s="1094"/>
      <c r="R58" s="1094"/>
      <c r="S58" s="1094"/>
      <c r="T58" s="1094"/>
      <c r="U58" s="1094"/>
      <c r="V58" s="1094"/>
      <c r="W58" s="1094"/>
      <c r="X58" s="1094"/>
      <c r="Y58" s="1094"/>
      <c r="Z58" s="1094"/>
      <c r="AA58" s="1094"/>
      <c r="AB58" s="1094"/>
      <c r="AC58" s="1094"/>
      <c r="AD58" s="1094"/>
      <c r="AE58" s="1094"/>
      <c r="AF58" s="2720">
        <v>2023</v>
      </c>
      <c r="AG58" s="2721" t="s">
        <v>1135</v>
      </c>
      <c r="AH58" s="2721" t="s">
        <v>1159</v>
      </c>
      <c r="AI58" s="2720">
        <v>2023</v>
      </c>
      <c r="AJ58" s="2721" t="s">
        <v>1160</v>
      </c>
      <c r="AK58" s="2721" t="s">
        <v>1159</v>
      </c>
      <c r="AL58" s="1897"/>
      <c r="AM58" s="1735"/>
      <c r="AN58" s="1735"/>
      <c r="AO58" s="1735"/>
      <c r="AP58" s="1735"/>
      <c r="AQ58" s="1735"/>
      <c r="AR58" s="1735"/>
      <c r="AS58" s="1735"/>
      <c r="AT58" s="1735"/>
      <c r="AU58" s="1735"/>
      <c r="AV58" s="1735"/>
      <c r="AW58" s="1735"/>
      <c r="AX58" s="1735"/>
      <c r="AY58" s="1735"/>
      <c r="AZ58" s="1735"/>
      <c r="BA58" s="1735"/>
      <c r="BB58" s="1735"/>
      <c r="BC58" s="1735"/>
      <c r="BD58" s="1735"/>
      <c r="BE58" s="1735"/>
      <c r="BF58" s="1735"/>
      <c r="BG58" s="2057"/>
    </row>
    <row r="59" spans="1:59" ht="0" hidden="1" customHeight="1">
      <c r="A59" s="1082" t="s">
        <v>1102</v>
      </c>
      <c r="B59" s="1082"/>
      <c r="C59" s="1082"/>
      <c r="D59" s="1076"/>
      <c r="E59" s="1086"/>
      <c r="F59" s="2710"/>
      <c r="G59" s="2728"/>
      <c r="H59" s="2706" t="s">
        <v>375</v>
      </c>
      <c r="I59" s="2717"/>
      <c r="J59" s="2718"/>
      <c r="K59" s="2719"/>
      <c r="L59" s="2445"/>
      <c r="M59" s="2446"/>
      <c r="N59" s="2722"/>
      <c r="O59" s="2723">
        <v>1</v>
      </c>
      <c r="P59" s="2724" t="s">
        <v>62</v>
      </c>
      <c r="Q59" s="2718" t="s">
        <v>1161</v>
      </c>
      <c r="R59" s="2727" t="s">
        <v>1139</v>
      </c>
      <c r="S59" s="2727" t="s">
        <v>100</v>
      </c>
      <c r="T59" s="2727" t="s">
        <v>100</v>
      </c>
      <c r="U59" s="2727" t="s">
        <v>101</v>
      </c>
      <c r="V59" s="2727" t="s">
        <v>1140</v>
      </c>
      <c r="W59" s="2727" t="s">
        <v>1141</v>
      </c>
      <c r="X59" s="2727" t="s">
        <v>1162</v>
      </c>
      <c r="Y59" s="2727" t="s">
        <v>111</v>
      </c>
      <c r="Z59" s="1091"/>
      <c r="AA59" s="1092"/>
      <c r="AB59" s="1092"/>
      <c r="AC59" s="1096"/>
      <c r="AD59" s="1096"/>
      <c r="AE59" s="1097"/>
      <c r="AF59" s="2720"/>
      <c r="AG59" s="2721"/>
      <c r="AH59" s="2721"/>
      <c r="AI59" s="2720"/>
      <c r="AJ59" s="2721"/>
      <c r="AK59" s="2721"/>
      <c r="AL59" s="1897"/>
      <c r="AM59" s="1735"/>
      <c r="AN59" s="1735"/>
      <c r="AO59" s="1735"/>
      <c r="AP59" s="1735"/>
      <c r="AQ59" s="1735"/>
      <c r="AR59" s="1735"/>
      <c r="AS59" s="1735"/>
      <c r="AT59" s="1735"/>
      <c r="AU59" s="1735"/>
      <c r="AV59" s="1735"/>
      <c r="AW59" s="1735"/>
      <c r="AX59" s="1735"/>
      <c r="AY59" s="1735"/>
      <c r="AZ59" s="1735"/>
      <c r="BA59" s="1735"/>
      <c r="BB59" s="1735"/>
      <c r="BC59" s="1735"/>
      <c r="BD59" s="1735"/>
      <c r="BE59" s="1735"/>
      <c r="BF59" s="1735"/>
      <c r="BG59" s="2057"/>
    </row>
    <row r="60" spans="1:59" ht="27" customHeight="1">
      <c r="A60" s="1082" t="s">
        <v>1102</v>
      </c>
      <c r="B60" s="1082"/>
      <c r="C60" s="1082"/>
      <c r="D60" s="1076"/>
      <c r="E60" s="1086"/>
      <c r="F60" s="2710"/>
      <c r="G60" s="2728"/>
      <c r="H60" s="2706" t="s">
        <v>375</v>
      </c>
      <c r="I60" s="2717"/>
      <c r="J60" s="2718"/>
      <c r="K60" s="2719"/>
      <c r="L60" s="2445"/>
      <c r="M60" s="2446"/>
      <c r="N60" s="2722"/>
      <c r="O60" s="2723"/>
      <c r="P60" s="2725"/>
      <c r="Q60" s="2718"/>
      <c r="R60" s="2678"/>
      <c r="S60" s="2727"/>
      <c r="T60" s="2678"/>
      <c r="U60" s="2678"/>
      <c r="V60" s="2678"/>
      <c r="W60" s="2678"/>
      <c r="X60" s="2678"/>
      <c r="Y60" s="2678"/>
      <c r="Z60" s="1740"/>
      <c r="AA60" s="1708">
        <v>1</v>
      </c>
      <c r="AB60" s="1095" t="s">
        <v>1154</v>
      </c>
      <c r="AC60" s="1085">
        <v>4373.9799999999996</v>
      </c>
      <c r="AD60" s="1095" t="str">
        <f>AB60</f>
        <v xml:space="preserve">  Прибыль направляемая на инвестиции</v>
      </c>
      <c r="AE60" s="1085">
        <v>4241.67</v>
      </c>
      <c r="AF60" s="2720"/>
      <c r="AG60" s="2721"/>
      <c r="AH60" s="2721"/>
      <c r="AI60" s="2720"/>
      <c r="AJ60" s="2721"/>
      <c r="AK60" s="2721"/>
      <c r="AL60" s="1897"/>
      <c r="AM60" s="1735"/>
      <c r="AN60" s="1735"/>
      <c r="AO60" s="1735"/>
      <c r="AP60" s="1735"/>
      <c r="AQ60" s="1735"/>
      <c r="AR60" s="1735"/>
      <c r="AS60" s="1735"/>
      <c r="AT60" s="1735"/>
      <c r="AU60" s="1735"/>
      <c r="AV60" s="1735"/>
      <c r="AW60" s="1735"/>
      <c r="AX60" s="1735"/>
      <c r="AY60" s="1735"/>
      <c r="AZ60" s="1735"/>
      <c r="BA60" s="1735"/>
      <c r="BB60" s="1735"/>
      <c r="BC60" s="1735"/>
      <c r="BD60" s="1735"/>
      <c r="BE60" s="1735"/>
      <c r="BF60" s="1735"/>
      <c r="BG60" s="2057"/>
    </row>
    <row r="61" spans="1:59" ht="9.75" customHeight="1">
      <c r="A61" s="1082" t="s">
        <v>1102</v>
      </c>
      <c r="B61" s="1082"/>
      <c r="C61" s="1082"/>
      <c r="D61" s="1076"/>
      <c r="E61" s="1086"/>
      <c r="F61" s="2710"/>
      <c r="G61" s="2728"/>
      <c r="H61" s="2706" t="s">
        <v>375</v>
      </c>
      <c r="I61" s="2717"/>
      <c r="J61" s="2718"/>
      <c r="K61" s="2719"/>
      <c r="L61" s="2445"/>
      <c r="M61" s="2446"/>
      <c r="N61" s="2722"/>
      <c r="O61" s="2723"/>
      <c r="P61" s="2726"/>
      <c r="Q61" s="2718"/>
      <c r="R61" s="2678"/>
      <c r="S61" s="2727"/>
      <c r="T61" s="2678"/>
      <c r="U61" s="2678"/>
      <c r="V61" s="2678"/>
      <c r="W61" s="2678"/>
      <c r="X61" s="2678"/>
      <c r="Y61" s="2678"/>
      <c r="Z61" s="1091"/>
      <c r="AA61" s="1092"/>
      <c r="AB61" s="1157" t="s">
        <v>1145</v>
      </c>
      <c r="AC61" s="1096"/>
      <c r="AD61" s="1096"/>
      <c r="AE61" s="1098"/>
      <c r="AF61" s="2720"/>
      <c r="AG61" s="2721"/>
      <c r="AH61" s="2721"/>
      <c r="AI61" s="2720"/>
      <c r="AJ61" s="2721"/>
      <c r="AK61" s="2721"/>
      <c r="AL61" s="1897"/>
      <c r="AM61" s="1735"/>
      <c r="AN61" s="1735"/>
      <c r="AO61" s="1735"/>
      <c r="AP61" s="1735"/>
      <c r="AQ61" s="1735"/>
      <c r="AR61" s="1735"/>
      <c r="AS61" s="1735"/>
      <c r="AT61" s="1735"/>
      <c r="AU61" s="1735"/>
      <c r="AV61" s="1735"/>
      <c r="AW61" s="1735"/>
      <c r="AX61" s="1735"/>
      <c r="AY61" s="1735"/>
      <c r="AZ61" s="1735"/>
      <c r="BA61" s="1735"/>
      <c r="BB61" s="1735"/>
      <c r="BC61" s="1735"/>
      <c r="BD61" s="1735"/>
      <c r="BE61" s="1735"/>
      <c r="BF61" s="1735"/>
      <c r="BG61" s="2057"/>
    </row>
    <row r="62" spans="1:59" ht="9" customHeight="1">
      <c r="A62" s="1082" t="s">
        <v>1102</v>
      </c>
      <c r="B62" s="1082"/>
      <c r="C62" s="1082"/>
      <c r="D62" s="1076"/>
      <c r="E62" s="1086"/>
      <c r="F62" s="2710"/>
      <c r="G62" s="2728"/>
      <c r="H62" s="2706" t="s">
        <v>375</v>
      </c>
      <c r="I62" s="2717"/>
      <c r="J62" s="2718"/>
      <c r="K62" s="2719"/>
      <c r="L62" s="2445"/>
      <c r="M62" s="2446"/>
      <c r="N62" s="1091"/>
      <c r="O62" s="1092"/>
      <c r="P62" s="1084" t="s">
        <v>1146</v>
      </c>
      <c r="Q62" s="1092"/>
      <c r="R62" s="1092"/>
      <c r="S62" s="1092"/>
      <c r="T62" s="1092"/>
      <c r="U62" s="1092"/>
      <c r="V62" s="1092"/>
      <c r="W62" s="1092"/>
      <c r="X62" s="1092"/>
      <c r="Y62" s="1092"/>
      <c r="Z62" s="1092"/>
      <c r="AA62" s="1092"/>
      <c r="AB62" s="1092"/>
      <c r="AC62" s="1092"/>
      <c r="AD62" s="1092"/>
      <c r="AE62" s="1099"/>
      <c r="AF62" s="2720"/>
      <c r="AG62" s="2721"/>
      <c r="AH62" s="2721"/>
      <c r="AI62" s="2720"/>
      <c r="AJ62" s="2721"/>
      <c r="AK62" s="2721"/>
      <c r="AL62" s="1897"/>
      <c r="AM62" s="1735"/>
      <c r="AN62" s="1735"/>
      <c r="AO62" s="1735"/>
      <c r="AP62" s="1735"/>
      <c r="AQ62" s="1735"/>
      <c r="AR62" s="1735"/>
      <c r="AS62" s="1735"/>
      <c r="AT62" s="1735"/>
      <c r="AU62" s="1735"/>
      <c r="AV62" s="1735"/>
      <c r="AW62" s="1735"/>
      <c r="AX62" s="1735"/>
      <c r="AY62" s="1735"/>
      <c r="AZ62" s="1735"/>
      <c r="BA62" s="1735"/>
      <c r="BB62" s="1735"/>
      <c r="BC62" s="1735"/>
      <c r="BD62" s="1735"/>
      <c r="BE62" s="1735"/>
      <c r="BF62" s="1735"/>
      <c r="BG62" s="2057"/>
    </row>
    <row r="63" spans="1:59" ht="27.75" customHeight="1">
      <c r="A63" s="1082" t="s">
        <v>1102</v>
      </c>
      <c r="B63" s="1082"/>
      <c r="C63" s="1082"/>
      <c r="D63" s="1076"/>
      <c r="E63" s="1086"/>
      <c r="F63" s="2710"/>
      <c r="G63" s="2695" t="s">
        <v>568</v>
      </c>
      <c r="H63" s="2706" t="s">
        <v>110</v>
      </c>
      <c r="I63" s="2717"/>
      <c r="J63" s="2718"/>
      <c r="K63" s="2719" t="s">
        <v>1163</v>
      </c>
      <c r="L63" s="2445" t="s">
        <v>19</v>
      </c>
      <c r="M63" s="2446"/>
      <c r="N63" s="1895"/>
      <c r="O63" s="1093" t="s">
        <v>375</v>
      </c>
      <c r="P63" s="1094"/>
      <c r="Q63" s="1094"/>
      <c r="R63" s="1094"/>
      <c r="S63" s="1094"/>
      <c r="T63" s="1094"/>
      <c r="U63" s="1094"/>
      <c r="V63" s="1094"/>
      <c r="W63" s="1094"/>
      <c r="X63" s="1094"/>
      <c r="Y63" s="1094"/>
      <c r="Z63" s="1094"/>
      <c r="AA63" s="1094"/>
      <c r="AB63" s="1094"/>
      <c r="AC63" s="1094"/>
      <c r="AD63" s="1094"/>
      <c r="AE63" s="1094"/>
      <c r="AF63" s="2720">
        <v>2023</v>
      </c>
      <c r="AG63" s="2721" t="s">
        <v>1135</v>
      </c>
      <c r="AH63" s="2721" t="s">
        <v>1159</v>
      </c>
      <c r="AI63" s="2720">
        <v>2023</v>
      </c>
      <c r="AJ63" s="2721" t="s">
        <v>1164</v>
      </c>
      <c r="AK63" s="2721" t="s">
        <v>1159</v>
      </c>
      <c r="AL63" s="1897"/>
      <c r="AM63" s="1735"/>
      <c r="AN63" s="1735"/>
      <c r="AO63" s="1735"/>
      <c r="AP63" s="1735"/>
      <c r="AQ63" s="1735"/>
      <c r="AR63" s="1735"/>
      <c r="AS63" s="1735"/>
      <c r="AT63" s="1735"/>
      <c r="AU63" s="1735"/>
      <c r="AV63" s="1735"/>
      <c r="AW63" s="1735"/>
      <c r="AX63" s="1735"/>
      <c r="AY63" s="1735"/>
      <c r="AZ63" s="1735"/>
      <c r="BA63" s="1735"/>
      <c r="BB63" s="1735"/>
      <c r="BC63" s="1735"/>
      <c r="BD63" s="1735"/>
      <c r="BE63" s="1735"/>
      <c r="BF63" s="1735"/>
      <c r="BG63" s="2057"/>
    </row>
    <row r="64" spans="1:59" ht="21" customHeight="1">
      <c r="A64" s="1082" t="s">
        <v>1102</v>
      </c>
      <c r="B64" s="1082"/>
      <c r="C64" s="1082"/>
      <c r="D64" s="1076"/>
      <c r="E64" s="1086"/>
      <c r="F64" s="2710"/>
      <c r="G64" s="2728"/>
      <c r="H64" s="2706" t="s">
        <v>109</v>
      </c>
      <c r="I64" s="2717"/>
      <c r="J64" s="2718"/>
      <c r="K64" s="2719"/>
      <c r="L64" s="2445"/>
      <c r="M64" s="2446"/>
      <c r="N64" s="2722"/>
      <c r="O64" s="2723">
        <v>1</v>
      </c>
      <c r="P64" s="2724" t="s">
        <v>62</v>
      </c>
      <c r="Q64" s="2718" t="s">
        <v>1165</v>
      </c>
      <c r="R64" s="2727" t="s">
        <v>1139</v>
      </c>
      <c r="S64" s="2727" t="s">
        <v>100</v>
      </c>
      <c r="T64" s="2727" t="s">
        <v>100</v>
      </c>
      <c r="U64" s="2727" t="s">
        <v>101</v>
      </c>
      <c r="V64" s="2727" t="s">
        <v>1140</v>
      </c>
      <c r="W64" s="2727" t="s">
        <v>1141</v>
      </c>
      <c r="X64" s="2727" t="s">
        <v>1166</v>
      </c>
      <c r="Y64" s="2727" t="s">
        <v>1167</v>
      </c>
      <c r="Z64" s="1091"/>
      <c r="AA64" s="1092"/>
      <c r="AB64" s="1092"/>
      <c r="AC64" s="1096"/>
      <c r="AD64" s="1096"/>
      <c r="AE64" s="1097"/>
      <c r="AF64" s="2720"/>
      <c r="AG64" s="2721"/>
      <c r="AH64" s="2721"/>
      <c r="AI64" s="2720"/>
      <c r="AJ64" s="2721"/>
      <c r="AK64" s="2721"/>
      <c r="AL64" s="1897"/>
      <c r="AM64" s="1735"/>
      <c r="AN64" s="1735"/>
      <c r="AO64" s="1735"/>
      <c r="AP64" s="1735"/>
      <c r="AQ64" s="1735"/>
      <c r="AR64" s="1735"/>
      <c r="AS64" s="1735"/>
      <c r="AT64" s="1735"/>
      <c r="AU64" s="1735"/>
      <c r="AV64" s="1735"/>
      <c r="AW64" s="1735"/>
      <c r="AX64" s="1735"/>
      <c r="AY64" s="1735"/>
      <c r="AZ64" s="1735"/>
      <c r="BA64" s="1735"/>
      <c r="BB64" s="1735"/>
      <c r="BC64" s="1735"/>
      <c r="BD64" s="1735"/>
      <c r="BE64" s="1735"/>
      <c r="BF64" s="1735"/>
      <c r="BG64" s="2057"/>
    </row>
    <row r="65" spans="1:59" ht="24.75" customHeight="1">
      <c r="A65" s="1082" t="s">
        <v>1102</v>
      </c>
      <c r="B65" s="1082"/>
      <c r="C65" s="1082"/>
      <c r="D65" s="1076"/>
      <c r="E65" s="1086"/>
      <c r="F65" s="2710"/>
      <c r="G65" s="2728"/>
      <c r="H65" s="2706" t="s">
        <v>109</v>
      </c>
      <c r="I65" s="2717"/>
      <c r="J65" s="2718"/>
      <c r="K65" s="2719"/>
      <c r="L65" s="2445"/>
      <c r="M65" s="2446"/>
      <c r="N65" s="2722"/>
      <c r="O65" s="2723"/>
      <c r="P65" s="2725"/>
      <c r="Q65" s="2718"/>
      <c r="R65" s="2678"/>
      <c r="S65" s="2727"/>
      <c r="T65" s="2678"/>
      <c r="U65" s="2678"/>
      <c r="V65" s="2678"/>
      <c r="W65" s="2678"/>
      <c r="X65" s="2678"/>
      <c r="Y65" s="2678"/>
      <c r="Z65" s="1740"/>
      <c r="AA65" s="1708">
        <v>1</v>
      </c>
      <c r="AB65" s="1095" t="s">
        <v>1154</v>
      </c>
      <c r="AC65" s="1085">
        <v>5554.65</v>
      </c>
      <c r="AD65" s="1095" t="str">
        <f>AB65</f>
        <v xml:space="preserve">  Прибыль направляемая на инвестиции</v>
      </c>
      <c r="AE65" s="1085">
        <v>4605.09</v>
      </c>
      <c r="AF65" s="2720"/>
      <c r="AG65" s="2721"/>
      <c r="AH65" s="2721"/>
      <c r="AI65" s="2720"/>
      <c r="AJ65" s="2721"/>
      <c r="AK65" s="2721"/>
      <c r="AL65" s="1897"/>
      <c r="AM65" s="1735"/>
      <c r="AN65" s="1735"/>
      <c r="AO65" s="1735"/>
      <c r="AP65" s="1735"/>
      <c r="AQ65" s="1735"/>
      <c r="AR65" s="1735"/>
      <c r="AS65" s="1735"/>
      <c r="AT65" s="1735"/>
      <c r="AU65" s="1735"/>
      <c r="AV65" s="1735"/>
      <c r="AW65" s="1735"/>
      <c r="AX65" s="1735"/>
      <c r="AY65" s="1735"/>
      <c r="AZ65" s="1735"/>
      <c r="BA65" s="1735"/>
      <c r="BB65" s="1735"/>
      <c r="BC65" s="1735"/>
      <c r="BD65" s="1735"/>
      <c r="BE65" s="1735"/>
      <c r="BF65" s="1735"/>
      <c r="BG65" s="2057"/>
    </row>
    <row r="66" spans="1:59" ht="11.25" customHeight="1">
      <c r="A66" s="1082" t="s">
        <v>1102</v>
      </c>
      <c r="B66" s="1082"/>
      <c r="C66" s="1082"/>
      <c r="D66" s="1076"/>
      <c r="E66" s="1086"/>
      <c r="F66" s="2710"/>
      <c r="G66" s="2728"/>
      <c r="H66" s="2706" t="s">
        <v>109</v>
      </c>
      <c r="I66" s="2717"/>
      <c r="J66" s="2718"/>
      <c r="K66" s="2719"/>
      <c r="L66" s="2445"/>
      <c r="M66" s="2446"/>
      <c r="N66" s="2722"/>
      <c r="O66" s="2723"/>
      <c r="P66" s="2726"/>
      <c r="Q66" s="2718"/>
      <c r="R66" s="2678"/>
      <c r="S66" s="2727"/>
      <c r="T66" s="2678"/>
      <c r="U66" s="2678"/>
      <c r="V66" s="2678"/>
      <c r="W66" s="2678"/>
      <c r="X66" s="2678"/>
      <c r="Y66" s="2678"/>
      <c r="Z66" s="1091"/>
      <c r="AA66" s="1092"/>
      <c r="AB66" s="1157" t="s">
        <v>1145</v>
      </c>
      <c r="AC66" s="1096"/>
      <c r="AD66" s="1096"/>
      <c r="AE66" s="1098"/>
      <c r="AF66" s="2720"/>
      <c r="AG66" s="2721"/>
      <c r="AH66" s="2721"/>
      <c r="AI66" s="2720"/>
      <c r="AJ66" s="2721"/>
      <c r="AK66" s="2721"/>
      <c r="AL66" s="1897"/>
      <c r="AM66" s="1735"/>
      <c r="AN66" s="1735"/>
      <c r="AO66" s="1735"/>
      <c r="AP66" s="1735"/>
      <c r="AQ66" s="1735"/>
      <c r="AR66" s="1735"/>
      <c r="AS66" s="1735"/>
      <c r="AT66" s="1735"/>
      <c r="AU66" s="1735"/>
      <c r="AV66" s="1735"/>
      <c r="AW66" s="1735"/>
      <c r="AX66" s="1735"/>
      <c r="AY66" s="1735"/>
      <c r="AZ66" s="1735"/>
      <c r="BA66" s="1735"/>
      <c r="BB66" s="1735"/>
      <c r="BC66" s="1735"/>
      <c r="BD66" s="1735"/>
      <c r="BE66" s="1735"/>
      <c r="BF66" s="1735"/>
      <c r="BG66" s="2057"/>
    </row>
    <row r="67" spans="1:59" ht="0" hidden="1" customHeight="1">
      <c r="A67" s="1082" t="s">
        <v>1102</v>
      </c>
      <c r="B67" s="1082"/>
      <c r="C67" s="1082"/>
      <c r="D67" s="1076"/>
      <c r="E67" s="1086"/>
      <c r="F67" s="2710"/>
      <c r="G67" s="2728"/>
      <c r="H67" s="2706" t="s">
        <v>109</v>
      </c>
      <c r="I67" s="2717"/>
      <c r="J67" s="2718"/>
      <c r="K67" s="2719"/>
      <c r="L67" s="2445"/>
      <c r="M67" s="2446"/>
      <c r="N67" s="1091"/>
      <c r="O67" s="1092"/>
      <c r="P67" s="1084" t="s">
        <v>1146</v>
      </c>
      <c r="Q67" s="1092"/>
      <c r="R67" s="1092"/>
      <c r="S67" s="1092"/>
      <c r="T67" s="1092"/>
      <c r="U67" s="1092"/>
      <c r="V67" s="1092"/>
      <c r="W67" s="1092"/>
      <c r="X67" s="1092"/>
      <c r="Y67" s="1092"/>
      <c r="Z67" s="1092"/>
      <c r="AA67" s="1092"/>
      <c r="AB67" s="1092"/>
      <c r="AC67" s="1092"/>
      <c r="AD67" s="1092"/>
      <c r="AE67" s="1099"/>
      <c r="AF67" s="2720"/>
      <c r="AG67" s="2721"/>
      <c r="AH67" s="2721"/>
      <c r="AI67" s="2720"/>
      <c r="AJ67" s="2721"/>
      <c r="AK67" s="2721"/>
      <c r="AL67" s="1897"/>
      <c r="AM67" s="1735"/>
      <c r="AN67" s="1735"/>
      <c r="AO67" s="1735"/>
      <c r="AP67" s="1735"/>
      <c r="AQ67" s="1735"/>
      <c r="AR67" s="1735"/>
      <c r="AS67" s="1735"/>
      <c r="AT67" s="1735"/>
      <c r="AU67" s="1735"/>
      <c r="AV67" s="1735"/>
      <c r="AW67" s="1735"/>
      <c r="AX67" s="1735"/>
      <c r="AY67" s="1735"/>
      <c r="AZ67" s="1735"/>
      <c r="BA67" s="1735"/>
      <c r="BB67" s="1735"/>
      <c r="BC67" s="1735"/>
      <c r="BD67" s="1735"/>
      <c r="BE67" s="1735"/>
      <c r="BF67" s="1735"/>
      <c r="BG67" s="2057"/>
    </row>
    <row r="68" spans="1:59" ht="11.25" customHeight="1">
      <c r="A68" s="1082" t="s">
        <v>1102</v>
      </c>
      <c r="B68" s="1082"/>
      <c r="C68" s="1082"/>
      <c r="D68" s="1076"/>
      <c r="E68" s="1086"/>
      <c r="F68" s="2710"/>
      <c r="G68" s="2695" t="s">
        <v>568</v>
      </c>
      <c r="H68" s="2706" t="s">
        <v>90</v>
      </c>
      <c r="I68" s="2717"/>
      <c r="J68" s="2718"/>
      <c r="K68" s="2719" t="s">
        <v>1168</v>
      </c>
      <c r="L68" s="2445" t="s">
        <v>19</v>
      </c>
      <c r="M68" s="2446"/>
      <c r="N68" s="1895"/>
      <c r="O68" s="1093" t="s">
        <v>375</v>
      </c>
      <c r="P68" s="1094"/>
      <c r="Q68" s="1094"/>
      <c r="R68" s="1094"/>
      <c r="S68" s="1094"/>
      <c r="T68" s="1094"/>
      <c r="U68" s="1094"/>
      <c r="V68" s="1094"/>
      <c r="W68" s="1094"/>
      <c r="X68" s="1094"/>
      <c r="Y68" s="1094"/>
      <c r="Z68" s="1094"/>
      <c r="AA68" s="1094"/>
      <c r="AB68" s="1094"/>
      <c r="AC68" s="1094"/>
      <c r="AD68" s="1094"/>
      <c r="AE68" s="1094"/>
      <c r="AF68" s="2720">
        <v>2023</v>
      </c>
      <c r="AG68" s="2721" t="s">
        <v>1135</v>
      </c>
      <c r="AH68" s="2721" t="s">
        <v>1159</v>
      </c>
      <c r="AI68" s="2720">
        <v>2023</v>
      </c>
      <c r="AJ68" s="2721" t="s">
        <v>1160</v>
      </c>
      <c r="AK68" s="2721" t="s">
        <v>1159</v>
      </c>
      <c r="AL68" s="1897"/>
      <c r="AM68" s="1735"/>
      <c r="AN68" s="1735"/>
      <c r="AO68" s="1735"/>
      <c r="AP68" s="1735"/>
      <c r="AQ68" s="1735"/>
      <c r="AR68" s="1735"/>
      <c r="AS68" s="1735"/>
      <c r="AT68" s="1735"/>
      <c r="AU68" s="1735"/>
      <c r="AV68" s="1735"/>
      <c r="AW68" s="1735"/>
      <c r="AX68" s="1735"/>
      <c r="AY68" s="1735"/>
      <c r="AZ68" s="1735"/>
      <c r="BA68" s="1735"/>
      <c r="BB68" s="1735"/>
      <c r="BC68" s="1735"/>
      <c r="BD68" s="1735"/>
      <c r="BE68" s="1735"/>
      <c r="BF68" s="1735"/>
      <c r="BG68" s="2057"/>
    </row>
    <row r="69" spans="1:59" ht="11.25" customHeight="1">
      <c r="A69" s="1082" t="s">
        <v>1102</v>
      </c>
      <c r="B69" s="1082"/>
      <c r="C69" s="1082"/>
      <c r="D69" s="1076"/>
      <c r="E69" s="1086"/>
      <c r="F69" s="2710"/>
      <c r="G69" s="2728"/>
      <c r="H69" s="2706" t="s">
        <v>110</v>
      </c>
      <c r="I69" s="2717"/>
      <c r="J69" s="2718"/>
      <c r="K69" s="2719"/>
      <c r="L69" s="2445"/>
      <c r="M69" s="2446"/>
      <c r="N69" s="2722"/>
      <c r="O69" s="2723">
        <v>1</v>
      </c>
      <c r="P69" s="2724" t="s">
        <v>62</v>
      </c>
      <c r="Q69" s="2718" t="s">
        <v>1169</v>
      </c>
      <c r="R69" s="2727" t="s">
        <v>1170</v>
      </c>
      <c r="S69" s="2727" t="s">
        <v>100</v>
      </c>
      <c r="T69" s="2727" t="s">
        <v>100</v>
      </c>
      <c r="U69" s="2727" t="s">
        <v>101</v>
      </c>
      <c r="V69" s="2727" t="s">
        <v>1140</v>
      </c>
      <c r="W69" s="2727" t="s">
        <v>1141</v>
      </c>
      <c r="X69" s="2727" t="s">
        <v>1171</v>
      </c>
      <c r="Y69" s="2727" t="s">
        <v>154</v>
      </c>
      <c r="Z69" s="1091"/>
      <c r="AA69" s="1092"/>
      <c r="AB69" s="1092"/>
      <c r="AC69" s="1096"/>
      <c r="AD69" s="1096"/>
      <c r="AE69" s="1097"/>
      <c r="AF69" s="2720"/>
      <c r="AG69" s="2721"/>
      <c r="AH69" s="2721"/>
      <c r="AI69" s="2720"/>
      <c r="AJ69" s="2721"/>
      <c r="AK69" s="2721"/>
      <c r="AL69" s="1897"/>
      <c r="AM69" s="1735"/>
      <c r="AN69" s="1735"/>
      <c r="AO69" s="1735"/>
      <c r="AP69" s="1735"/>
      <c r="AQ69" s="1735"/>
      <c r="AR69" s="1735"/>
      <c r="AS69" s="1735"/>
      <c r="AT69" s="1735"/>
      <c r="AU69" s="1735"/>
      <c r="AV69" s="1735"/>
      <c r="AW69" s="1735"/>
      <c r="AX69" s="1735"/>
      <c r="AY69" s="1735"/>
      <c r="AZ69" s="1735"/>
      <c r="BA69" s="1735"/>
      <c r="BB69" s="1735"/>
      <c r="BC69" s="1735"/>
      <c r="BD69" s="1735"/>
      <c r="BE69" s="1735"/>
      <c r="BF69" s="1735"/>
      <c r="BG69" s="2057"/>
    </row>
    <row r="70" spans="1:59" ht="22.5" customHeight="1">
      <c r="A70" s="1082" t="s">
        <v>1102</v>
      </c>
      <c r="B70" s="1082"/>
      <c r="C70" s="1082"/>
      <c r="D70" s="1076"/>
      <c r="E70" s="1086"/>
      <c r="F70" s="2710"/>
      <c r="G70" s="2728"/>
      <c r="H70" s="2706" t="s">
        <v>110</v>
      </c>
      <c r="I70" s="2717"/>
      <c r="J70" s="2718"/>
      <c r="K70" s="2719"/>
      <c r="L70" s="2445"/>
      <c r="M70" s="2446"/>
      <c r="N70" s="2722"/>
      <c r="O70" s="2723"/>
      <c r="P70" s="2725"/>
      <c r="Q70" s="2718"/>
      <c r="R70" s="2678"/>
      <c r="S70" s="2727"/>
      <c r="T70" s="2678"/>
      <c r="U70" s="2678"/>
      <c r="V70" s="2678"/>
      <c r="W70" s="2678"/>
      <c r="X70" s="2678"/>
      <c r="Y70" s="2678"/>
      <c r="Z70" s="1740"/>
      <c r="AA70" s="1708">
        <v>1</v>
      </c>
      <c r="AB70" s="1095" t="s">
        <v>1154</v>
      </c>
      <c r="AC70" s="1085">
        <v>5415.02</v>
      </c>
      <c r="AD70" s="1095" t="str">
        <f>AB70</f>
        <v xml:space="preserve">  Прибыль направляемая на инвестиции</v>
      </c>
      <c r="AE70" s="1085">
        <v>6087.79</v>
      </c>
      <c r="AF70" s="2720"/>
      <c r="AG70" s="2721"/>
      <c r="AH70" s="2721"/>
      <c r="AI70" s="2720"/>
      <c r="AJ70" s="2721"/>
      <c r="AK70" s="2721"/>
      <c r="AL70" s="1897"/>
      <c r="AM70" s="1735"/>
      <c r="AN70" s="1735"/>
      <c r="AO70" s="1735"/>
      <c r="AP70" s="1735"/>
      <c r="AQ70" s="1735"/>
      <c r="AR70" s="1735"/>
      <c r="AS70" s="1735"/>
      <c r="AT70" s="1735"/>
      <c r="AU70" s="1735"/>
      <c r="AV70" s="1735"/>
      <c r="AW70" s="1735"/>
      <c r="AX70" s="1735"/>
      <c r="AY70" s="1735"/>
      <c r="AZ70" s="1735"/>
      <c r="BA70" s="1735"/>
      <c r="BB70" s="1735"/>
      <c r="BC70" s="1735"/>
      <c r="BD70" s="1735"/>
      <c r="BE70" s="1735"/>
      <c r="BF70" s="1735"/>
      <c r="BG70" s="2057"/>
    </row>
    <row r="71" spans="1:59" ht="11.25" customHeight="1">
      <c r="A71" s="1082" t="s">
        <v>1102</v>
      </c>
      <c r="B71" s="1082"/>
      <c r="C71" s="1082"/>
      <c r="D71" s="1076"/>
      <c r="E71" s="1086"/>
      <c r="F71" s="2710"/>
      <c r="G71" s="2728"/>
      <c r="H71" s="2706" t="s">
        <v>110</v>
      </c>
      <c r="I71" s="2717"/>
      <c r="J71" s="2718"/>
      <c r="K71" s="2719"/>
      <c r="L71" s="2445"/>
      <c r="M71" s="2446"/>
      <c r="N71" s="2722"/>
      <c r="O71" s="2723"/>
      <c r="P71" s="2726"/>
      <c r="Q71" s="2718"/>
      <c r="R71" s="2678"/>
      <c r="S71" s="2727"/>
      <c r="T71" s="2678"/>
      <c r="U71" s="2678"/>
      <c r="V71" s="2678"/>
      <c r="W71" s="2678"/>
      <c r="X71" s="2678"/>
      <c r="Y71" s="2678"/>
      <c r="Z71" s="1091"/>
      <c r="AA71" s="1092"/>
      <c r="AB71" s="1157" t="s">
        <v>1145</v>
      </c>
      <c r="AC71" s="1096"/>
      <c r="AD71" s="1096"/>
      <c r="AE71" s="1098"/>
      <c r="AF71" s="2720"/>
      <c r="AG71" s="2721"/>
      <c r="AH71" s="2721"/>
      <c r="AI71" s="2720"/>
      <c r="AJ71" s="2721"/>
      <c r="AK71" s="2721"/>
      <c r="AL71" s="1897"/>
      <c r="AM71" s="1735"/>
      <c r="AN71" s="1735"/>
      <c r="AO71" s="1735"/>
      <c r="AP71" s="1735"/>
      <c r="AQ71" s="1735"/>
      <c r="AR71" s="1735"/>
      <c r="AS71" s="1735"/>
      <c r="AT71" s="1735"/>
      <c r="AU71" s="1735"/>
      <c r="AV71" s="1735"/>
      <c r="AW71" s="1735"/>
      <c r="AX71" s="1735"/>
      <c r="AY71" s="1735"/>
      <c r="AZ71" s="1735"/>
      <c r="BA71" s="1735"/>
      <c r="BB71" s="1735"/>
      <c r="BC71" s="1735"/>
      <c r="BD71" s="1735"/>
      <c r="BE71" s="1735"/>
      <c r="BF71" s="1735"/>
      <c r="BG71" s="2057"/>
    </row>
    <row r="72" spans="1:59" ht="11.25" customHeight="1">
      <c r="A72" s="1082" t="s">
        <v>1102</v>
      </c>
      <c r="B72" s="1082"/>
      <c r="C72" s="1082"/>
      <c r="D72" s="1076"/>
      <c r="E72" s="1086"/>
      <c r="F72" s="2710"/>
      <c r="G72" s="2728"/>
      <c r="H72" s="2706" t="s">
        <v>110</v>
      </c>
      <c r="I72" s="2717"/>
      <c r="J72" s="2718"/>
      <c r="K72" s="2719"/>
      <c r="L72" s="2445"/>
      <c r="M72" s="2446"/>
      <c r="N72" s="1091"/>
      <c r="O72" s="1092"/>
      <c r="P72" s="1084" t="s">
        <v>1146</v>
      </c>
      <c r="Q72" s="1092"/>
      <c r="R72" s="1092"/>
      <c r="S72" s="1092"/>
      <c r="T72" s="1092"/>
      <c r="U72" s="1092"/>
      <c r="V72" s="1092"/>
      <c r="W72" s="1092"/>
      <c r="X72" s="1092"/>
      <c r="Y72" s="1092"/>
      <c r="Z72" s="1092"/>
      <c r="AA72" s="1092"/>
      <c r="AB72" s="1092"/>
      <c r="AC72" s="1092"/>
      <c r="AD72" s="1092"/>
      <c r="AE72" s="1099"/>
      <c r="AF72" s="2720"/>
      <c r="AG72" s="2721"/>
      <c r="AH72" s="2721"/>
      <c r="AI72" s="2720"/>
      <c r="AJ72" s="2721"/>
      <c r="AK72" s="2721"/>
      <c r="AL72" s="1897"/>
      <c r="AM72" s="1735"/>
      <c r="AN72" s="1735"/>
      <c r="AO72" s="1735"/>
      <c r="AP72" s="1735"/>
      <c r="AQ72" s="1735"/>
      <c r="AR72" s="1735"/>
      <c r="AS72" s="1735"/>
      <c r="AT72" s="1735"/>
      <c r="AU72" s="1735"/>
      <c r="AV72" s="1735"/>
      <c r="AW72" s="1735"/>
      <c r="AX72" s="1735"/>
      <c r="AY72" s="1735"/>
      <c r="AZ72" s="1735"/>
      <c r="BA72" s="1735"/>
      <c r="BB72" s="1735"/>
      <c r="BC72" s="1735"/>
      <c r="BD72" s="1735"/>
      <c r="BE72" s="1735"/>
      <c r="BF72" s="1735"/>
      <c r="BG72" s="2057"/>
    </row>
    <row r="73" spans="1:59" ht="12" customHeight="1">
      <c r="A73" s="1082" t="s">
        <v>1102</v>
      </c>
      <c r="B73" s="1082"/>
      <c r="C73" s="1082"/>
      <c r="D73" s="1076"/>
      <c r="E73" s="1086"/>
      <c r="F73" s="2711"/>
      <c r="G73" s="1106"/>
      <c r="H73" s="1106"/>
      <c r="I73" s="2708" t="s">
        <v>1151</v>
      </c>
      <c r="J73" s="2708"/>
      <c r="K73" s="2708"/>
      <c r="L73" s="1089"/>
      <c r="M73" s="1089"/>
      <c r="N73" s="1090"/>
      <c r="O73" s="1090"/>
      <c r="P73" s="1090"/>
      <c r="Q73" s="1090"/>
      <c r="R73" s="1090"/>
      <c r="S73" s="1090"/>
      <c r="T73" s="1090"/>
      <c r="U73" s="1090"/>
      <c r="V73" s="1090"/>
      <c r="W73" s="1090"/>
      <c r="X73" s="1090"/>
      <c r="Y73" s="1090"/>
      <c r="Z73" s="1090"/>
      <c r="AA73" s="1090"/>
      <c r="AB73" s="1090"/>
      <c r="AC73" s="1090"/>
      <c r="AD73" s="1090"/>
      <c r="AE73" s="1090"/>
      <c r="AF73" s="1090"/>
      <c r="AG73" s="1089"/>
      <c r="AH73" s="1089"/>
      <c r="AI73" s="1090"/>
      <c r="AJ73" s="1089"/>
      <c r="AK73" s="1090"/>
      <c r="AL73" s="1897"/>
      <c r="AM73" s="1735"/>
      <c r="AN73" s="1735"/>
      <c r="AO73" s="1735"/>
      <c r="AP73" s="1735"/>
      <c r="AQ73" s="1735"/>
      <c r="AR73" s="1735"/>
      <c r="AS73" s="1735"/>
      <c r="AT73" s="1735"/>
      <c r="AU73" s="1735"/>
      <c r="AV73" s="1735"/>
      <c r="AW73" s="1735"/>
      <c r="AX73" s="1735"/>
      <c r="AY73" s="1735"/>
      <c r="AZ73" s="1735"/>
      <c r="BA73" s="1735"/>
      <c r="BB73" s="1735"/>
      <c r="BC73" s="1735"/>
      <c r="BD73" s="1735"/>
      <c r="BE73" s="1735"/>
      <c r="BF73" s="1735"/>
      <c r="BG73" s="2057"/>
    </row>
    <row r="74" spans="1:59" ht="10.5" customHeight="1">
      <c r="E74" s="832"/>
      <c r="F74" s="843"/>
      <c r="G74" s="843"/>
      <c r="H74" s="1088"/>
      <c r="I74" s="843"/>
      <c r="J74" s="843"/>
      <c r="K74" s="843"/>
      <c r="L74" s="1048"/>
      <c r="M74" s="1048"/>
      <c r="N74" s="843"/>
      <c r="O74" s="843"/>
      <c r="P74" s="843"/>
      <c r="Q74" s="843"/>
      <c r="R74" s="843"/>
      <c r="S74" s="843"/>
      <c r="T74" s="843"/>
      <c r="U74" s="843"/>
      <c r="V74" s="843"/>
      <c r="W74" s="843"/>
      <c r="X74" s="843"/>
      <c r="Y74" s="843"/>
      <c r="Z74" s="843"/>
      <c r="AA74" s="843"/>
      <c r="AB74" s="843"/>
      <c r="AC74" s="843"/>
      <c r="AD74" s="1048"/>
      <c r="AE74" s="843"/>
      <c r="AF74" s="843"/>
      <c r="AG74" s="843"/>
      <c r="AH74" s="1066"/>
      <c r="AI74" s="1059"/>
      <c r="AJ74" s="843"/>
      <c r="AK74" s="843"/>
      <c r="AL74" s="832"/>
      <c r="AM74" s="832"/>
      <c r="AN74" s="832"/>
      <c r="AO74" s="832"/>
      <c r="AP74" s="832"/>
      <c r="AQ74" s="832"/>
      <c r="AR74" s="832"/>
      <c r="AS74" s="832"/>
      <c r="AT74" s="832"/>
      <c r="AU74" s="832"/>
      <c r="AV74" s="832"/>
      <c r="AW74" s="832"/>
      <c r="AX74" s="832"/>
      <c r="AY74" s="832"/>
      <c r="AZ74" s="832"/>
      <c r="BA74" s="832"/>
      <c r="BB74" s="832"/>
      <c r="BC74" s="832"/>
      <c r="BD74" s="832"/>
      <c r="BE74" s="832"/>
      <c r="BF74" s="832"/>
      <c r="BG74" s="692">
        <v>10</v>
      </c>
    </row>
    <row r="75" spans="1:59" ht="13.5" customHeight="1">
      <c r="E75" s="832"/>
      <c r="F75" s="839" t="s">
        <v>1172</v>
      </c>
      <c r="G75" s="839"/>
      <c r="H75" s="1087"/>
      <c r="I75" s="839"/>
      <c r="J75" s="839"/>
      <c r="K75" s="836"/>
      <c r="L75" s="1044"/>
      <c r="M75" s="1044"/>
      <c r="N75" s="838"/>
      <c r="O75" s="838"/>
      <c r="P75" s="838"/>
      <c r="Q75" s="838"/>
      <c r="R75" s="838"/>
      <c r="S75" s="838"/>
      <c r="T75" s="838"/>
      <c r="U75" s="838"/>
      <c r="V75" s="838"/>
      <c r="W75" s="838"/>
      <c r="X75" s="838"/>
      <c r="Y75" s="838"/>
      <c r="Z75" s="836"/>
      <c r="AA75" s="836"/>
      <c r="AB75" s="836"/>
      <c r="AC75" s="836"/>
      <c r="AD75" s="1044"/>
      <c r="AE75" s="836"/>
      <c r="AF75" s="836"/>
      <c r="AG75" s="836"/>
      <c r="AH75" s="1063"/>
      <c r="AI75" s="1056"/>
      <c r="AJ75" s="836"/>
      <c r="AK75" s="836"/>
      <c r="AL75" s="832"/>
      <c r="AM75" s="832"/>
      <c r="AN75" s="832"/>
      <c r="AO75" s="832"/>
      <c r="AP75" s="832"/>
      <c r="AQ75" s="832"/>
      <c r="AR75" s="832"/>
      <c r="AS75" s="832"/>
      <c r="AT75" s="832"/>
      <c r="AU75" s="832"/>
      <c r="AV75" s="832"/>
      <c r="AW75" s="832"/>
      <c r="AX75" s="832"/>
      <c r="AY75" s="832"/>
      <c r="AZ75" s="832"/>
      <c r="BA75" s="832"/>
      <c r="BB75" s="832"/>
      <c r="BC75" s="832"/>
      <c r="BD75" s="832"/>
      <c r="BE75" s="832"/>
      <c r="BF75" s="832"/>
      <c r="BG75" s="692">
        <v>13</v>
      </c>
    </row>
    <row r="76" spans="1:59" ht="10.5" customHeight="1">
      <c r="BG76" s="692">
        <v>10</v>
      </c>
    </row>
    <row r="77" spans="1:59" ht="10.5" customHeight="1">
      <c r="E77" s="832"/>
      <c r="F77" s="2697"/>
      <c r="G77" s="2697"/>
      <c r="H77" s="2697"/>
      <c r="I77" s="2697"/>
      <c r="J77" s="2697"/>
      <c r="K77" s="836"/>
      <c r="L77" s="1044"/>
      <c r="M77" s="1044"/>
      <c r="N77" s="838"/>
      <c r="O77" s="838"/>
      <c r="P77" s="838"/>
      <c r="Q77" s="838"/>
      <c r="R77" s="838"/>
      <c r="S77" s="838"/>
      <c r="T77" s="838"/>
      <c r="U77" s="838"/>
      <c r="V77" s="838"/>
      <c r="W77" s="838"/>
      <c r="X77" s="838"/>
      <c r="Y77" s="838"/>
      <c r="Z77" s="836"/>
      <c r="AA77" s="836"/>
      <c r="AB77" s="836"/>
      <c r="AC77" s="836"/>
      <c r="AD77" s="1044"/>
      <c r="AE77" s="836"/>
      <c r="AF77" s="836"/>
      <c r="AG77" s="836"/>
      <c r="AH77" s="1063"/>
      <c r="AI77" s="1056"/>
      <c r="AJ77" s="836"/>
      <c r="AK77" s="836"/>
      <c r="AL77" s="832"/>
      <c r="AM77" s="832"/>
      <c r="AN77" s="832"/>
      <c r="AO77" s="832"/>
      <c r="AP77" s="832"/>
      <c r="AQ77" s="832"/>
      <c r="AR77" s="832"/>
      <c r="AS77" s="832"/>
      <c r="AT77" s="832"/>
      <c r="AU77" s="832"/>
      <c r="AV77" s="832"/>
      <c r="AW77" s="832"/>
      <c r="AX77" s="832"/>
      <c r="AY77" s="832"/>
      <c r="AZ77" s="832"/>
      <c r="BA77" s="832"/>
      <c r="BB77" s="832"/>
      <c r="BC77" s="832"/>
      <c r="BD77" s="832"/>
      <c r="BE77" s="832"/>
      <c r="BF77" s="832"/>
      <c r="BG77" s="692">
        <v>10</v>
      </c>
    </row>
    <row r="78" spans="1:59" ht="10.5" customHeight="1">
      <c r="E78" s="832"/>
      <c r="F78" s="2697"/>
      <c r="G78" s="2697"/>
      <c r="H78" s="2697"/>
      <c r="I78" s="2697"/>
      <c r="J78" s="2697"/>
      <c r="K78" s="836"/>
      <c r="L78" s="1044"/>
      <c r="M78" s="1044"/>
      <c r="N78" s="838"/>
      <c r="O78" s="838"/>
      <c r="P78" s="838"/>
      <c r="Q78" s="838"/>
      <c r="R78" s="838"/>
      <c r="S78" s="838"/>
      <c r="T78" s="838"/>
      <c r="U78" s="838"/>
      <c r="V78" s="838"/>
      <c r="W78" s="838"/>
      <c r="X78" s="838"/>
      <c r="Y78" s="838"/>
      <c r="Z78" s="836"/>
      <c r="AA78" s="836"/>
      <c r="AB78" s="836"/>
      <c r="AC78" s="836"/>
      <c r="AD78" s="1044"/>
      <c r="AE78" s="836"/>
      <c r="AF78" s="836"/>
      <c r="AG78" s="836"/>
      <c r="AH78" s="1063"/>
      <c r="AI78" s="1056"/>
      <c r="AJ78" s="836"/>
      <c r="AK78" s="836"/>
      <c r="AL78" s="832"/>
      <c r="AM78" s="832"/>
      <c r="AN78" s="832"/>
      <c r="AO78" s="832"/>
      <c r="AP78" s="832"/>
      <c r="AQ78" s="832"/>
      <c r="AR78" s="832"/>
      <c r="AS78" s="832"/>
      <c r="AT78" s="832"/>
      <c r="AU78" s="832"/>
      <c r="AV78" s="832"/>
      <c r="AW78" s="832"/>
      <c r="AX78" s="832"/>
      <c r="AY78" s="832"/>
      <c r="AZ78" s="832"/>
      <c r="BA78" s="832"/>
      <c r="BB78" s="832"/>
      <c r="BC78" s="832"/>
      <c r="BD78" s="832"/>
      <c r="BE78" s="832"/>
      <c r="BF78" s="832"/>
      <c r="BG78" s="692">
        <v>10</v>
      </c>
    </row>
    <row r="79" spans="1:59" ht="10.5" customHeight="1">
      <c r="E79" s="832"/>
      <c r="F79" s="2697"/>
      <c r="G79" s="2697"/>
      <c r="H79" s="2697"/>
      <c r="I79" s="2697"/>
      <c r="J79" s="2697"/>
      <c r="K79" s="836"/>
      <c r="L79" s="1044"/>
      <c r="M79" s="1044"/>
      <c r="N79" s="838"/>
      <c r="O79" s="838"/>
      <c r="P79" s="838"/>
      <c r="Q79" s="838"/>
      <c r="R79" s="838"/>
      <c r="S79" s="838"/>
      <c r="T79" s="838"/>
      <c r="U79" s="838"/>
      <c r="V79" s="838"/>
      <c r="W79" s="838"/>
      <c r="X79" s="838"/>
      <c r="Y79" s="838"/>
      <c r="Z79" s="836"/>
      <c r="AA79" s="836"/>
      <c r="AB79" s="836"/>
      <c r="AC79" s="836"/>
      <c r="AD79" s="1044"/>
      <c r="AE79" s="836"/>
      <c r="AF79" s="836"/>
      <c r="AG79" s="836"/>
      <c r="AH79" s="1063"/>
      <c r="AI79" s="1056"/>
      <c r="AJ79" s="836"/>
      <c r="AK79" s="836"/>
      <c r="AL79" s="832"/>
      <c r="AM79" s="832"/>
      <c r="AN79" s="832"/>
      <c r="AO79" s="832"/>
      <c r="AP79" s="832"/>
      <c r="AQ79" s="832"/>
      <c r="AR79" s="832"/>
      <c r="AS79" s="832"/>
      <c r="AT79" s="832"/>
      <c r="AU79" s="832"/>
      <c r="AV79" s="832"/>
      <c r="AW79" s="832"/>
      <c r="AX79" s="832"/>
      <c r="AY79" s="832"/>
      <c r="AZ79" s="832"/>
      <c r="BA79" s="832"/>
      <c r="BB79" s="832"/>
      <c r="BC79" s="832"/>
      <c r="BD79" s="832"/>
      <c r="BE79" s="832"/>
      <c r="BF79" s="832"/>
      <c r="BG79" s="692">
        <v>10</v>
      </c>
    </row>
    <row r="80" spans="1:59" ht="10.5" hidden="1" customHeight="1">
      <c r="A80" s="820" t="s">
        <v>82</v>
      </c>
      <c r="B80" s="820">
        <v>0</v>
      </c>
      <c r="C80" s="820">
        <v>0</v>
      </c>
      <c r="D80" s="353">
        <v>0</v>
      </c>
      <c r="E80" s="445">
        <v>3</v>
      </c>
      <c r="F80" s="692">
        <v>14</v>
      </c>
      <c r="G80" s="692">
        <v>3</v>
      </c>
      <c r="H80" s="1071">
        <v>7</v>
      </c>
      <c r="I80" s="692">
        <v>16</v>
      </c>
      <c r="J80" s="692">
        <v>16</v>
      </c>
      <c r="K80" s="692">
        <v>25</v>
      </c>
      <c r="L80" s="1042">
        <v>7</v>
      </c>
      <c r="M80" s="1042">
        <v>15</v>
      </c>
      <c r="N80" s="692">
        <v>3</v>
      </c>
      <c r="O80" s="692">
        <v>4</v>
      </c>
      <c r="P80" s="692">
        <v>8</v>
      </c>
      <c r="Q80" s="692">
        <v>21</v>
      </c>
      <c r="R80" s="692">
        <v>14</v>
      </c>
      <c r="S80" s="692">
        <v>17</v>
      </c>
      <c r="T80" s="692">
        <v>17</v>
      </c>
      <c r="U80" s="692">
        <v>9</v>
      </c>
      <c r="V80" s="692">
        <v>12</v>
      </c>
      <c r="W80" s="692">
        <v>9</v>
      </c>
      <c r="X80" s="692">
        <v>21</v>
      </c>
      <c r="Y80" s="692">
        <v>12</v>
      </c>
      <c r="Z80" s="692">
        <v>3</v>
      </c>
      <c r="AA80" s="692">
        <v>6</v>
      </c>
      <c r="AB80" s="692">
        <v>38</v>
      </c>
      <c r="AC80" s="692">
        <v>15</v>
      </c>
      <c r="AD80" s="1042">
        <v>0</v>
      </c>
      <c r="AE80" s="692">
        <v>0</v>
      </c>
      <c r="AF80" s="692">
        <v>16</v>
      </c>
      <c r="AG80" s="692">
        <v>16</v>
      </c>
      <c r="AH80" s="1061">
        <v>16</v>
      </c>
      <c r="AI80" s="1054">
        <v>0</v>
      </c>
      <c r="AJ80" s="692">
        <v>0</v>
      </c>
      <c r="AK80" s="692">
        <v>0</v>
      </c>
      <c r="AL80" s="692">
        <v>8</v>
      </c>
      <c r="AM80" s="692">
        <v>8</v>
      </c>
      <c r="AN80" s="692">
        <v>8</v>
      </c>
      <c r="AO80" s="692">
        <v>8</v>
      </c>
      <c r="AP80" s="692">
        <v>8</v>
      </c>
      <c r="AQ80" s="692">
        <v>8</v>
      </c>
      <c r="AR80" s="692">
        <v>8</v>
      </c>
      <c r="AS80" s="692">
        <v>8</v>
      </c>
      <c r="AT80" s="692">
        <v>8</v>
      </c>
      <c r="AU80" s="692">
        <v>8</v>
      </c>
      <c r="AV80" s="692">
        <v>8</v>
      </c>
      <c r="AW80" s="692">
        <v>8</v>
      </c>
      <c r="AX80" s="692">
        <v>8</v>
      </c>
      <c r="AY80" s="692">
        <v>8</v>
      </c>
      <c r="AZ80" s="692">
        <v>8</v>
      </c>
      <c r="BA80" s="692">
        <v>8</v>
      </c>
      <c r="BB80" s="692">
        <v>8</v>
      </c>
      <c r="BC80" s="692">
        <v>8</v>
      </c>
      <c r="BD80" s="692">
        <v>8</v>
      </c>
      <c r="BE80" s="692">
        <v>8</v>
      </c>
      <c r="BF80" s="692">
        <v>8</v>
      </c>
      <c r="BG80" s="692">
        <v>10</v>
      </c>
    </row>
  </sheetData>
  <sheetProtection formatColumns="0" formatRows="0" insertRows="0" deleteColumns="0" deleteRows="0" sort="0" autoFilter="0"/>
  <mergeCells count="311">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36:G40"/>
    <mergeCell ref="H20:H24"/>
    <mergeCell ref="I20:I24"/>
    <mergeCell ref="J20:J24"/>
    <mergeCell ref="K20:K24"/>
    <mergeCell ref="L20:L24"/>
    <mergeCell ref="M20:M24"/>
    <mergeCell ref="AF20:AF24"/>
    <mergeCell ref="AG20:AG24"/>
    <mergeCell ref="G20:G24"/>
    <mergeCell ref="H25:H29"/>
    <mergeCell ref="I25:I29"/>
    <mergeCell ref="J25:J29"/>
    <mergeCell ref="K25:K29"/>
    <mergeCell ref="L25:L29"/>
    <mergeCell ref="M25:M29"/>
    <mergeCell ref="AF25:AF29"/>
    <mergeCell ref="AG25:AG29"/>
    <mergeCell ref="G25:G29"/>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I36:I40"/>
    <mergeCell ref="J36:J40"/>
    <mergeCell ref="K36:K40"/>
    <mergeCell ref="L36:L40"/>
    <mergeCell ref="M36:M40"/>
    <mergeCell ref="AF36:AF40"/>
    <mergeCell ref="AG36:AG40"/>
    <mergeCell ref="AH36:AH40"/>
    <mergeCell ref="AI36:AI40"/>
    <mergeCell ref="AI47:AI51"/>
    <mergeCell ref="AJ47:AJ51"/>
    <mergeCell ref="AK47:AK51"/>
    <mergeCell ref="N48:N50"/>
    <mergeCell ref="O48:O50"/>
    <mergeCell ref="P48:P50"/>
    <mergeCell ref="Q48:Q50"/>
    <mergeCell ref="R48:R50"/>
    <mergeCell ref="S48:S50"/>
    <mergeCell ref="T48:T50"/>
    <mergeCell ref="U48:U50"/>
    <mergeCell ref="V48:V50"/>
    <mergeCell ref="W48:W50"/>
    <mergeCell ref="X48:X50"/>
    <mergeCell ref="Y48:Y50"/>
    <mergeCell ref="G68:G72"/>
    <mergeCell ref="H47:H51"/>
    <mergeCell ref="I47:I51"/>
    <mergeCell ref="J47:J51"/>
    <mergeCell ref="K47:K51"/>
    <mergeCell ref="L47:L51"/>
    <mergeCell ref="M47:M51"/>
    <mergeCell ref="AF47:AF51"/>
    <mergeCell ref="AG47:AG51"/>
    <mergeCell ref="G47:G51"/>
    <mergeCell ref="AI68:AI72"/>
    <mergeCell ref="AJ68:AJ72"/>
    <mergeCell ref="AK68:AK72"/>
    <mergeCell ref="N69:N71"/>
    <mergeCell ref="O69:O71"/>
    <mergeCell ref="P69:P71"/>
    <mergeCell ref="Q69:Q71"/>
    <mergeCell ref="R69:R71"/>
    <mergeCell ref="S69:S71"/>
    <mergeCell ref="T69:T71"/>
    <mergeCell ref="U69:U71"/>
    <mergeCell ref="V69:V71"/>
    <mergeCell ref="W69:W71"/>
    <mergeCell ref="X69:X71"/>
    <mergeCell ref="Y69:Y71"/>
    <mergeCell ref="H68:H72"/>
    <mergeCell ref="I68:I72"/>
    <mergeCell ref="J68:J72"/>
    <mergeCell ref="K68:K72"/>
    <mergeCell ref="L68:L72"/>
    <mergeCell ref="M68:M72"/>
    <mergeCell ref="AF68:AF72"/>
    <mergeCell ref="AG68:AG72"/>
    <mergeCell ref="AH68:AH72"/>
    <mergeCell ref="AH63:AH67"/>
    <mergeCell ref="AI63:AI67"/>
    <mergeCell ref="AJ63:AJ67"/>
    <mergeCell ref="AK63:AK67"/>
    <mergeCell ref="N64:N66"/>
    <mergeCell ref="O64:O66"/>
    <mergeCell ref="P64:P66"/>
    <mergeCell ref="Q64:Q66"/>
    <mergeCell ref="R64:R66"/>
    <mergeCell ref="S64:S66"/>
    <mergeCell ref="T64:T66"/>
    <mergeCell ref="U64:U66"/>
    <mergeCell ref="V64:V66"/>
    <mergeCell ref="W64:W66"/>
    <mergeCell ref="X64:X66"/>
    <mergeCell ref="Y64:Y66"/>
    <mergeCell ref="G58:G62"/>
    <mergeCell ref="H63:H67"/>
    <mergeCell ref="I63:I67"/>
    <mergeCell ref="J63:J67"/>
    <mergeCell ref="K63:K67"/>
    <mergeCell ref="L63:L67"/>
    <mergeCell ref="M63:M67"/>
    <mergeCell ref="AF63:AF67"/>
    <mergeCell ref="AG63:AG67"/>
    <mergeCell ref="G63:G67"/>
    <mergeCell ref="AF58:AF62"/>
    <mergeCell ref="AG58:AG62"/>
    <mergeCell ref="AH58:AH62"/>
    <mergeCell ref="AI58:AI62"/>
    <mergeCell ref="AJ58:AJ62"/>
    <mergeCell ref="AK58:AK62"/>
    <mergeCell ref="N59:N61"/>
    <mergeCell ref="O59:O61"/>
    <mergeCell ref="P59:P61"/>
    <mergeCell ref="Q59:Q61"/>
    <mergeCell ref="R59:R61"/>
    <mergeCell ref="S59:S61"/>
    <mergeCell ref="T59:T61"/>
    <mergeCell ref="U59:U61"/>
    <mergeCell ref="V59:V61"/>
    <mergeCell ref="W59:W61"/>
    <mergeCell ref="X59:X61"/>
    <mergeCell ref="Y59:Y61"/>
    <mergeCell ref="M53:M57"/>
    <mergeCell ref="N54:N56"/>
    <mergeCell ref="O54:O56"/>
    <mergeCell ref="H58:H62"/>
    <mergeCell ref="I58:I62"/>
    <mergeCell ref="J58:J62"/>
    <mergeCell ref="K58:K62"/>
    <mergeCell ref="L58:L62"/>
    <mergeCell ref="M58:M62"/>
    <mergeCell ref="P54:P56"/>
    <mergeCell ref="Q54:Q56"/>
    <mergeCell ref="R54:R56"/>
    <mergeCell ref="G53:G57"/>
    <mergeCell ref="AJ53:AJ57"/>
    <mergeCell ref="AK53:AK57"/>
    <mergeCell ref="I73:K73"/>
    <mergeCell ref="F53:F73"/>
    <mergeCell ref="AF53:AF57"/>
    <mergeCell ref="AG53:AG57"/>
    <mergeCell ref="AH53:AH57"/>
    <mergeCell ref="AI53:AI57"/>
    <mergeCell ref="S54:S56"/>
    <mergeCell ref="T54:T56"/>
    <mergeCell ref="U54:U56"/>
    <mergeCell ref="V54:V56"/>
    <mergeCell ref="W54:W56"/>
    <mergeCell ref="X54:X56"/>
    <mergeCell ref="Y54:Y56"/>
    <mergeCell ref="H53:H57"/>
    <mergeCell ref="I53:I57"/>
    <mergeCell ref="J53:J57"/>
    <mergeCell ref="K53:K57"/>
    <mergeCell ref="L53:L57"/>
    <mergeCell ref="AJ42:AJ46"/>
    <mergeCell ref="AK42:AK46"/>
    <mergeCell ref="I52:K52"/>
    <mergeCell ref="F42:F52"/>
    <mergeCell ref="AF42:AF46"/>
    <mergeCell ref="AG42:AG46"/>
    <mergeCell ref="AH42:AH46"/>
    <mergeCell ref="AI42:AI46"/>
    <mergeCell ref="S43:S45"/>
    <mergeCell ref="T43:T45"/>
    <mergeCell ref="U43:U45"/>
    <mergeCell ref="V43:V45"/>
    <mergeCell ref="W43:W45"/>
    <mergeCell ref="X43:X45"/>
    <mergeCell ref="Y43:Y45"/>
    <mergeCell ref="H42:H46"/>
    <mergeCell ref="I42:I46"/>
    <mergeCell ref="J42:J46"/>
    <mergeCell ref="K42:K46"/>
    <mergeCell ref="L42:L46"/>
    <mergeCell ref="M42:M46"/>
    <mergeCell ref="N43:N45"/>
    <mergeCell ref="O43:O45"/>
    <mergeCell ref="AH47:AH51"/>
    <mergeCell ref="AJ31:AJ35"/>
    <mergeCell ref="AK31:AK35"/>
    <mergeCell ref="I41:K41"/>
    <mergeCell ref="F31:F41"/>
    <mergeCell ref="AF31:AF35"/>
    <mergeCell ref="AG31:AG35"/>
    <mergeCell ref="AH31:AH35"/>
    <mergeCell ref="AI31:AI35"/>
    <mergeCell ref="S32:S34"/>
    <mergeCell ref="T32:T34"/>
    <mergeCell ref="U32:U34"/>
    <mergeCell ref="V32:V34"/>
    <mergeCell ref="W32:W34"/>
    <mergeCell ref="X32:X34"/>
    <mergeCell ref="Y32:Y34"/>
    <mergeCell ref="H31:H35"/>
    <mergeCell ref="I31:I35"/>
    <mergeCell ref="J31:J35"/>
    <mergeCell ref="K31:K35"/>
    <mergeCell ref="L31:L35"/>
    <mergeCell ref="M31:M35"/>
    <mergeCell ref="N32:N34"/>
    <mergeCell ref="O32:O34"/>
    <mergeCell ref="H36:H40"/>
    <mergeCell ref="F5:K5"/>
    <mergeCell ref="P16:P18"/>
    <mergeCell ref="Q16:Q18"/>
    <mergeCell ref="R16:R18"/>
    <mergeCell ref="G15:G19"/>
    <mergeCell ref="AJ15:AJ19"/>
    <mergeCell ref="AK15:AK19"/>
    <mergeCell ref="I30:K30"/>
    <mergeCell ref="F15:F3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79:J79"/>
    <mergeCell ref="F9:F12"/>
    <mergeCell ref="G9:H12"/>
    <mergeCell ref="F78:J78"/>
    <mergeCell ref="F77:J77"/>
    <mergeCell ref="L15:L19"/>
    <mergeCell ref="M15:M19"/>
    <mergeCell ref="N16:N18"/>
    <mergeCell ref="O16:O18"/>
    <mergeCell ref="P32:P34"/>
    <mergeCell ref="Q32:Q34"/>
    <mergeCell ref="R32:R34"/>
    <mergeCell ref="G31:G35"/>
    <mergeCell ref="P43:P45"/>
    <mergeCell ref="Q43:Q45"/>
    <mergeCell ref="R43:R45"/>
    <mergeCell ref="G42:G46"/>
  </mergeCells>
  <dataValidations count="275">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M36">
      <formula1>900</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textLength" operator="lessThanOrEqual" allowBlank="1" showInputMessage="1" showErrorMessage="1" errorTitle="Ошибка" error="Допускается ввод не более 900 символов!" sqref="M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textLength" operator="lessThanOrEqual" allowBlank="1" showInputMessage="1" showErrorMessage="1" errorTitle="Ошибка" error="Допускается ввод не более 900 символов!" sqref="M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AC59"/>
  <sheetViews>
    <sheetView showGridLines="0" zoomScale="85" workbookViewId="0">
      <pane xSplit="9" ySplit="13" topLeftCell="J14" activePane="bottomRight" state="frozen"/>
      <selection pane="topRight" activeCell="J1" sqref="J1"/>
      <selection pane="bottomLeft" activeCell="A14" sqref="A14"/>
      <selection pane="bottomRight" activeCell="O1" sqref="O1:O59"/>
    </sheetView>
  </sheetViews>
  <sheetFormatPr defaultColWidth="9.140625" defaultRowHeight="10.5" customHeight="1"/>
  <cols>
    <col min="1" max="3" width="4.140625" style="2347" hidden="1" customWidth="1"/>
    <col min="4" max="4" width="4.140625" style="2357" hidden="1" customWidth="1"/>
    <col min="5" max="5" width="3" style="2360" customWidth="1"/>
    <col min="6" max="6" width="6" style="2360" customWidth="1"/>
    <col min="7" max="7" width="60" style="2360" customWidth="1"/>
    <col min="8" max="9" width="21.7109375" style="2360" hidden="1" customWidth="1"/>
    <col min="10" max="10" width="0.140625" style="2360" customWidth="1"/>
    <col min="11" max="15" width="21.7109375" style="2360" hidden="1" customWidth="1"/>
    <col min="16" max="16" width="0.140625" style="2360" customWidth="1"/>
    <col min="17" max="17" width="1" style="2360" customWidth="1"/>
    <col min="18" max="28" width="8" style="2360" customWidth="1"/>
    <col min="29" max="29" width="9.140625" style="2360" hidden="1"/>
  </cols>
  <sheetData>
    <row r="1" spans="1:29" s="2357" customFormat="1" ht="10.5" hidden="1" customHeight="1">
      <c r="A1" s="1082"/>
      <c r="B1" s="1082"/>
      <c r="C1" s="1082"/>
      <c r="E1" s="473"/>
      <c r="K1" s="2058"/>
      <c r="L1" s="2058"/>
      <c r="M1" s="2058"/>
      <c r="N1" s="2058"/>
      <c r="O1" s="2058"/>
      <c r="P1" s="2058"/>
      <c r="AC1" s="1076" t="s">
        <v>14</v>
      </c>
    </row>
    <row r="2" spans="1:29" ht="10.5" hidden="1" customHeight="1">
      <c r="K2" s="2057"/>
      <c r="L2" s="2057"/>
      <c r="M2" s="2057"/>
      <c r="N2" s="2057"/>
      <c r="O2" s="2057"/>
      <c r="P2" s="2057"/>
      <c r="AC2" s="1071">
        <v>0</v>
      </c>
    </row>
    <row r="3" spans="1:29" s="2370" customFormat="1" ht="10.5" hidden="1" customHeight="1">
      <c r="A3" s="1082"/>
      <c r="B3" s="1082"/>
      <c r="C3" s="1082"/>
      <c r="D3" s="1076"/>
      <c r="E3" s="298"/>
      <c r="K3" s="2059"/>
      <c r="L3" s="2059"/>
      <c r="M3" s="2059"/>
      <c r="N3" s="2059"/>
      <c r="O3" s="2059"/>
      <c r="P3" s="2059"/>
      <c r="AC3" s="1072">
        <v>0</v>
      </c>
    </row>
    <row r="4" spans="1:29" ht="3" customHeight="1">
      <c r="K4" s="2057"/>
      <c r="L4" s="2057"/>
      <c r="M4" s="2057"/>
      <c r="N4" s="2057"/>
      <c r="O4" s="2057"/>
      <c r="P4" s="2057"/>
      <c r="AC4" s="1071">
        <v>3</v>
      </c>
    </row>
    <row r="5" spans="1:29" ht="27.4" customHeight="1">
      <c r="F5" s="254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44"/>
      <c r="H5" s="2544"/>
      <c r="I5" s="2544"/>
      <c r="J5" s="2544"/>
      <c r="K5" s="2060"/>
      <c r="L5" s="2060"/>
      <c r="M5" s="2060"/>
      <c r="N5" s="2060"/>
      <c r="O5" s="2060"/>
      <c r="P5" s="2060"/>
      <c r="AC5" s="1071">
        <v>26</v>
      </c>
    </row>
    <row r="6" spans="1:29" ht="10.5" customHeight="1">
      <c r="F6" s="2516" t="str">
        <f>IF(org=0,"Не определено",org)</f>
        <v>ООО "Пятигорсктеплосервис"</v>
      </c>
      <c r="G6" s="2516"/>
      <c r="H6" s="2516"/>
      <c r="I6" s="2516"/>
      <c r="J6" s="2516"/>
      <c r="K6" s="2061"/>
      <c r="L6" s="2061"/>
      <c r="M6" s="2061"/>
      <c r="N6" s="2061"/>
      <c r="O6" s="2061"/>
      <c r="P6" s="2061"/>
      <c r="AC6" s="1071">
        <v>10</v>
      </c>
    </row>
    <row r="7" spans="1:29" ht="11.45" customHeight="1">
      <c r="E7" s="1086"/>
      <c r="F7" s="1143"/>
      <c r="G7" s="1143"/>
      <c r="H7" s="1143"/>
      <c r="I7" s="1143"/>
      <c r="J7" s="1143"/>
      <c r="K7" s="2062" t="s">
        <v>22</v>
      </c>
      <c r="L7" s="2062"/>
      <c r="M7" s="2062" t="s">
        <v>22</v>
      </c>
      <c r="N7" s="2062" t="s">
        <v>22</v>
      </c>
      <c r="O7" s="2062" t="s">
        <v>22</v>
      </c>
      <c r="P7" s="2062"/>
      <c r="Q7" s="1073"/>
      <c r="R7" s="1073"/>
      <c r="S7" s="1073"/>
      <c r="T7" s="1073"/>
      <c r="U7" s="1073"/>
      <c r="V7" s="1073"/>
      <c r="W7" s="1073"/>
      <c r="X7" s="1073"/>
      <c r="Y7" s="1073"/>
      <c r="Z7" s="1073"/>
      <c r="AA7" s="1073"/>
      <c r="AB7" s="1073"/>
      <c r="AC7" s="1071">
        <v>11</v>
      </c>
    </row>
    <row r="8" spans="1:29" s="2344" customFormat="1" ht="4.1500000000000004" customHeight="1">
      <c r="A8" s="1083"/>
      <c r="B8" s="1083"/>
      <c r="C8" s="1083"/>
      <c r="E8" s="1144"/>
      <c r="F8" s="1145"/>
      <c r="G8" s="1145"/>
      <c r="H8" s="1145"/>
      <c r="I8" s="1145"/>
      <c r="J8" s="1145"/>
      <c r="K8" s="2063" t="s">
        <v>1102</v>
      </c>
      <c r="L8" s="2063"/>
      <c r="M8" s="2063"/>
      <c r="N8" s="2063"/>
      <c r="O8" s="2063"/>
      <c r="P8" s="2063"/>
      <c r="Q8" s="1144"/>
      <c r="R8" s="1144"/>
      <c r="S8" s="1144"/>
      <c r="T8" s="1144"/>
      <c r="U8" s="1144"/>
      <c r="V8" s="1144"/>
      <c r="W8" s="1144"/>
      <c r="X8" s="1144"/>
      <c r="Y8" s="1144"/>
      <c r="Z8" s="1144"/>
      <c r="AA8" s="1144"/>
      <c r="AB8" s="1144"/>
      <c r="AC8" s="447">
        <v>4</v>
      </c>
    </row>
    <row r="9" spans="1:29" ht="10.5" customHeight="1">
      <c r="E9" s="1086"/>
      <c r="F9" s="2730" t="s">
        <v>299</v>
      </c>
      <c r="G9" s="2731"/>
      <c r="H9" s="2731"/>
      <c r="I9" s="2731"/>
      <c r="J9" s="2731"/>
      <c r="K9" s="2064"/>
      <c r="L9" s="2064"/>
      <c r="M9" s="2064"/>
      <c r="N9" s="2064"/>
      <c r="O9" s="2064"/>
      <c r="P9" s="2064"/>
      <c r="Q9" s="1156"/>
      <c r="R9" s="1073"/>
      <c r="S9" s="1073"/>
      <c r="T9" s="1073"/>
      <c r="U9" s="1073"/>
      <c r="V9" s="1073"/>
      <c r="W9" s="1073"/>
      <c r="X9" s="1073"/>
      <c r="Y9" s="1073"/>
      <c r="Z9" s="1073"/>
      <c r="AA9" s="1073"/>
      <c r="AB9" s="1073"/>
      <c r="AC9" s="1071">
        <v>10</v>
      </c>
    </row>
    <row r="10" spans="1:29" ht="25.15" customHeight="1">
      <c r="E10" s="1073"/>
      <c r="F10" s="2734" t="s">
        <v>88</v>
      </c>
      <c r="G10" s="2738" t="s">
        <v>1173</v>
      </c>
      <c r="H10" s="2675" t="s">
        <v>1174</v>
      </c>
      <c r="I10" s="2675"/>
      <c r="J10" s="2675"/>
      <c r="K10" s="2675" t="s">
        <v>1174</v>
      </c>
      <c r="L10" s="2675"/>
      <c r="M10" s="2675"/>
      <c r="N10" s="2675"/>
      <c r="O10" s="2675"/>
      <c r="P10" s="2675"/>
      <c r="Q10" s="1149"/>
      <c r="R10" s="1073"/>
      <c r="S10" s="1073"/>
      <c r="T10" s="1073"/>
      <c r="U10" s="1073"/>
      <c r="V10" s="1073"/>
      <c r="W10" s="1073"/>
      <c r="X10" s="1073"/>
      <c r="Y10" s="1073"/>
      <c r="Z10" s="1073"/>
      <c r="AA10" s="1073"/>
      <c r="AB10" s="1073"/>
      <c r="AC10" s="1071">
        <v>24</v>
      </c>
    </row>
    <row r="11" spans="1:29" ht="25.5" customHeight="1">
      <c r="E11" s="1073"/>
      <c r="F11" s="2735"/>
      <c r="G11" s="2738"/>
      <c r="H11" s="2737" t="e">
        <f>INDEX(IP_MAIN_LIST_NAME_IP,MATCH(H8,IP_MAIN_LIST_IP_ID,0))&amp;" ("&amp;INDEX(IP_MAIN_START_DATE,MATCH(H8,IP_MAIN_LIST_IP_ID,0))&amp;"-"&amp;INDEX(IP_MAIN_END_DATE,MATCH(H8,IP_MAIN_LIST_IP_ID,0))&amp;")"</f>
        <v>#N/A</v>
      </c>
      <c r="I11" s="2737"/>
      <c r="J11" s="2737"/>
      <c r="K11" s="2737" t="str">
        <f>INDEX(IP_MAIN_LIST_NAME_IP,MATCH(K8,IP_MAIN_LIST_IP_ID,0))&amp;" ("&amp;INDEX(IP_MAIN_START_DATE,MATCH(K8,IP_MAIN_LIST_IP_ID,0))&amp;"-"&amp;INDEX(IP_MAIN_END_DATE,MATCH(K8,IP_MAIN_LIST_IP_ID,0))&amp;")"</f>
        <v>Инвестиционная программа от 15.07.2019 ООО "Пятигорсктеплосервис" в сфере теплоснабжения по развитию систем теплоснабжения, на территории городского округа Город-курорт Пятигорск на 2020-2023 годы (01.01.2020-31.12.2023)</v>
      </c>
      <c r="L11" s="2737"/>
      <c r="M11" s="2737"/>
      <c r="N11" s="2737"/>
      <c r="O11" s="2737"/>
      <c r="P11" s="2737"/>
      <c r="Q11" s="1149"/>
      <c r="R11" s="1073"/>
      <c r="S11" s="1073"/>
      <c r="T11" s="1073"/>
      <c r="U11" s="1073"/>
      <c r="V11" s="1073"/>
      <c r="W11" s="1073"/>
      <c r="X11" s="1073"/>
      <c r="Y11" s="1073"/>
      <c r="Z11" s="1073"/>
      <c r="AA11" s="1073"/>
      <c r="AB11" s="1073"/>
      <c r="AC11" s="1071">
        <v>24</v>
      </c>
    </row>
    <row r="12" spans="1:29" ht="10.5" customHeight="1">
      <c r="F12" s="2736"/>
      <c r="G12" s="2738"/>
      <c r="H12" s="1142" t="s">
        <v>1175</v>
      </c>
      <c r="I12" s="1148"/>
      <c r="J12" s="1142"/>
      <c r="K12" s="2066" t="s">
        <v>1175</v>
      </c>
      <c r="L12" s="2067">
        <v>2020</v>
      </c>
      <c r="M12" s="2067">
        <v>2021</v>
      </c>
      <c r="N12" s="2067">
        <v>2022</v>
      </c>
      <c r="O12" s="2067">
        <v>2023</v>
      </c>
      <c r="P12" s="2066"/>
      <c r="Q12" s="1150"/>
      <c r="AC12" s="1071">
        <v>10</v>
      </c>
    </row>
    <row r="13" spans="1:29" ht="10.5" hidden="1" customHeight="1">
      <c r="F13" s="1142">
        <v>1</v>
      </c>
      <c r="G13" s="1142">
        <v>2</v>
      </c>
      <c r="H13" s="1142">
        <v>3</v>
      </c>
      <c r="I13" s="1142">
        <v>4</v>
      </c>
      <c r="J13" s="1142">
        <v>5</v>
      </c>
      <c r="K13" s="2066">
        <v>3</v>
      </c>
      <c r="L13" s="2066">
        <v>4</v>
      </c>
      <c r="M13" s="2066">
        <v>4</v>
      </c>
      <c r="N13" s="2066">
        <v>4</v>
      </c>
      <c r="O13" s="2066">
        <v>4</v>
      </c>
      <c r="P13" s="2066">
        <v>5</v>
      </c>
      <c r="Q13" s="1150"/>
      <c r="AC13" s="1071">
        <v>0</v>
      </c>
    </row>
    <row r="14" spans="1:29" ht="11.45" customHeight="1">
      <c r="F14" s="1141" t="s">
        <v>1176</v>
      </c>
      <c r="G14" s="2732" t="s">
        <v>1177</v>
      </c>
      <c r="H14" s="2732"/>
      <c r="I14" s="2732"/>
      <c r="J14" s="2732"/>
      <c r="K14" s="2068"/>
      <c r="L14" s="2068"/>
      <c r="M14" s="2068"/>
      <c r="N14" s="2068"/>
      <c r="O14" s="2068"/>
      <c r="P14" s="2068"/>
      <c r="Q14" s="1150"/>
      <c r="AC14" s="1071">
        <v>11</v>
      </c>
    </row>
    <row r="15" spans="1:29" ht="11.45" customHeight="1">
      <c r="F15" s="1146">
        <v>1</v>
      </c>
      <c r="G15" s="626" t="s">
        <v>1178</v>
      </c>
      <c r="H15" s="1152">
        <f t="shared" ref="H15:H36" si="0">SUM(I15:J15)</f>
        <v>0</v>
      </c>
      <c r="I15" s="1152">
        <f>SUM(I16:I27)</f>
        <v>0</v>
      </c>
      <c r="J15" s="1141"/>
      <c r="K15" s="2069">
        <f t="shared" ref="K15:K36" si="1">SUM(L15:P15)</f>
        <v>0</v>
      </c>
      <c r="L15" s="2069">
        <f>SUM(L16:L27)</f>
        <v>0</v>
      </c>
      <c r="M15" s="2069">
        <f>SUM(M16:M27)</f>
        <v>0</v>
      </c>
      <c r="N15" s="2069">
        <f>SUM(N16:N27)</f>
        <v>0</v>
      </c>
      <c r="O15" s="2069">
        <f>SUM(O16:O27)</f>
        <v>0</v>
      </c>
      <c r="P15" s="2065"/>
      <c r="Q15" s="1150"/>
      <c r="AC15" s="1071">
        <v>11</v>
      </c>
    </row>
    <row r="16" spans="1:29" ht="24" customHeight="1">
      <c r="F16" s="1146" t="s">
        <v>1179</v>
      </c>
      <c r="G16" s="1153" t="s">
        <v>1180</v>
      </c>
      <c r="H16" s="1152">
        <f t="shared" si="0"/>
        <v>0</v>
      </c>
      <c r="I16" s="1151"/>
      <c r="J16" s="1141"/>
      <c r="K16" s="2069">
        <f t="shared" si="1"/>
        <v>0</v>
      </c>
      <c r="L16" s="2070"/>
      <c r="M16" s="2070"/>
      <c r="N16" s="2070"/>
      <c r="O16" s="2070"/>
      <c r="P16" s="2065"/>
      <c r="Q16" s="1150"/>
      <c r="AC16" s="1071">
        <v>23</v>
      </c>
    </row>
    <row r="17" spans="6:29" ht="24" customHeight="1">
      <c r="F17" s="1146" t="s">
        <v>1181</v>
      </c>
      <c r="G17" s="1153" t="s">
        <v>1182</v>
      </c>
      <c r="H17" s="1152">
        <f t="shared" si="0"/>
        <v>0</v>
      </c>
      <c r="I17" s="1151"/>
      <c r="J17" s="1141"/>
      <c r="K17" s="2069">
        <f t="shared" si="1"/>
        <v>0</v>
      </c>
      <c r="L17" s="2070"/>
      <c r="M17" s="2070"/>
      <c r="N17" s="2070"/>
      <c r="O17" s="2070"/>
      <c r="P17" s="2065"/>
      <c r="Q17" s="1150"/>
      <c r="AC17" s="1071">
        <v>23</v>
      </c>
    </row>
    <row r="18" spans="6:29" ht="35.65" customHeight="1">
      <c r="F18" s="1146" t="s">
        <v>1183</v>
      </c>
      <c r="G18" s="1153" t="s">
        <v>1184</v>
      </c>
      <c r="H18" s="1152">
        <f t="shared" si="0"/>
        <v>0</v>
      </c>
      <c r="I18" s="1151"/>
      <c r="J18" s="1141"/>
      <c r="K18" s="2069">
        <f t="shared" si="1"/>
        <v>0</v>
      </c>
      <c r="L18" s="2070"/>
      <c r="M18" s="2070"/>
      <c r="N18" s="2070"/>
      <c r="O18" s="2070"/>
      <c r="P18" s="2065"/>
      <c r="Q18" s="1150"/>
      <c r="AC18" s="1071">
        <v>34</v>
      </c>
    </row>
    <row r="19" spans="6:29" ht="35.65" customHeight="1">
      <c r="F19" s="1146" t="s">
        <v>1185</v>
      </c>
      <c r="G19" s="1153" t="s">
        <v>1186</v>
      </c>
      <c r="H19" s="1152">
        <f t="shared" si="0"/>
        <v>0</v>
      </c>
      <c r="I19" s="1151"/>
      <c r="J19" s="1141"/>
      <c r="K19" s="2069">
        <f t="shared" si="1"/>
        <v>0</v>
      </c>
      <c r="L19" s="2070"/>
      <c r="M19" s="2070"/>
      <c r="N19" s="2070"/>
      <c r="O19" s="2070"/>
      <c r="P19" s="2065"/>
      <c r="Q19" s="1150"/>
      <c r="AC19" s="1071">
        <v>34</v>
      </c>
    </row>
    <row r="20" spans="6:29" ht="48.2" customHeight="1">
      <c r="F20" s="1146" t="s">
        <v>1187</v>
      </c>
      <c r="G20" s="1153" t="s">
        <v>1188</v>
      </c>
      <c r="H20" s="1152">
        <f t="shared" si="0"/>
        <v>0</v>
      </c>
      <c r="I20" s="1151"/>
      <c r="J20" s="1141"/>
      <c r="K20" s="2069">
        <f t="shared" si="1"/>
        <v>0</v>
      </c>
      <c r="L20" s="2070"/>
      <c r="M20" s="2070"/>
      <c r="N20" s="2070"/>
      <c r="O20" s="2070"/>
      <c r="P20" s="2065"/>
      <c r="Q20" s="1150"/>
      <c r="AC20" s="1071">
        <v>46</v>
      </c>
    </row>
    <row r="21" spans="6:29" ht="35.65" customHeight="1">
      <c r="F21" s="1146" t="s">
        <v>1189</v>
      </c>
      <c r="G21" s="1153" t="s">
        <v>1190</v>
      </c>
      <c r="H21" s="1152">
        <f t="shared" si="0"/>
        <v>0</v>
      </c>
      <c r="I21" s="1151"/>
      <c r="J21" s="1141"/>
      <c r="K21" s="2069">
        <f t="shared" si="1"/>
        <v>0</v>
      </c>
      <c r="L21" s="2070"/>
      <c r="M21" s="2070"/>
      <c r="N21" s="2070"/>
      <c r="O21" s="2070"/>
      <c r="P21" s="2065"/>
      <c r="Q21" s="1150"/>
      <c r="AC21" s="1071">
        <v>34</v>
      </c>
    </row>
    <row r="22" spans="6:29" ht="35.65" customHeight="1">
      <c r="F22" s="1146" t="s">
        <v>1191</v>
      </c>
      <c r="G22" s="1153" t="s">
        <v>1192</v>
      </c>
      <c r="H22" s="1152">
        <f t="shared" si="0"/>
        <v>0</v>
      </c>
      <c r="I22" s="1151"/>
      <c r="J22" s="1141"/>
      <c r="K22" s="2069">
        <f t="shared" si="1"/>
        <v>0</v>
      </c>
      <c r="L22" s="2070"/>
      <c r="M22" s="2070"/>
      <c r="N22" s="2070"/>
      <c r="O22" s="2070"/>
      <c r="P22" s="2065"/>
      <c r="Q22" s="1150"/>
      <c r="AC22" s="1071">
        <v>34</v>
      </c>
    </row>
    <row r="23" spans="6:29" ht="24" customHeight="1">
      <c r="F23" s="1146" t="s">
        <v>1193</v>
      </c>
      <c r="G23" s="1153" t="s">
        <v>1194</v>
      </c>
      <c r="H23" s="1152">
        <f t="shared" si="0"/>
        <v>0</v>
      </c>
      <c r="I23" s="1151"/>
      <c r="J23" s="1141"/>
      <c r="K23" s="2069">
        <f t="shared" si="1"/>
        <v>0</v>
      </c>
      <c r="L23" s="2070"/>
      <c r="M23" s="2070"/>
      <c r="N23" s="2070"/>
      <c r="O23" s="2070"/>
      <c r="P23" s="2065"/>
      <c r="Q23" s="1150"/>
      <c r="AC23" s="1071">
        <v>23</v>
      </c>
    </row>
    <row r="24" spans="6:29" ht="24" customHeight="1">
      <c r="F24" s="1146" t="s">
        <v>1195</v>
      </c>
      <c r="G24" s="1153" t="s">
        <v>1196</v>
      </c>
      <c r="H24" s="1152">
        <f t="shared" si="0"/>
        <v>0</v>
      </c>
      <c r="I24" s="1151"/>
      <c r="J24" s="1141"/>
      <c r="K24" s="2069">
        <f t="shared" si="1"/>
        <v>0</v>
      </c>
      <c r="L24" s="2070"/>
      <c r="M24" s="2070"/>
      <c r="N24" s="2070"/>
      <c r="O24" s="2070"/>
      <c r="P24" s="2065"/>
      <c r="Q24" s="1150"/>
      <c r="AC24" s="1071">
        <v>23</v>
      </c>
    </row>
    <row r="25" spans="6:29" ht="35.65" customHeight="1">
      <c r="F25" s="1146" t="s">
        <v>1197</v>
      </c>
      <c r="G25" s="1153" t="s">
        <v>1198</v>
      </c>
      <c r="H25" s="1152">
        <f t="shared" si="0"/>
        <v>0</v>
      </c>
      <c r="I25" s="1151"/>
      <c r="J25" s="1141"/>
      <c r="K25" s="2069">
        <f t="shared" si="1"/>
        <v>0</v>
      </c>
      <c r="L25" s="2070"/>
      <c r="M25" s="2070"/>
      <c r="N25" s="2070"/>
      <c r="O25" s="2070"/>
      <c r="P25" s="2065"/>
      <c r="Q25" s="1150"/>
      <c r="AC25" s="1071">
        <v>34</v>
      </c>
    </row>
    <row r="26" spans="6:29" ht="35.65" customHeight="1">
      <c r="F26" s="1146" t="s">
        <v>1199</v>
      </c>
      <c r="G26" s="1153" t="s">
        <v>1200</v>
      </c>
      <c r="H26" s="1152">
        <f t="shared" si="0"/>
        <v>0</v>
      </c>
      <c r="I26" s="1151"/>
      <c r="J26" s="1141"/>
      <c r="K26" s="2069">
        <f t="shared" si="1"/>
        <v>0</v>
      </c>
      <c r="L26" s="2070"/>
      <c r="M26" s="2070"/>
      <c r="N26" s="2070"/>
      <c r="O26" s="2070"/>
      <c r="P26" s="2065"/>
      <c r="Q26" s="1150"/>
      <c r="AC26" s="1071">
        <v>34</v>
      </c>
    </row>
    <row r="27" spans="6:29" ht="11.45" customHeight="1">
      <c r="F27" s="1146" t="s">
        <v>1201</v>
      </c>
      <c r="G27" s="1153" t="s">
        <v>1202</v>
      </c>
      <c r="H27" s="1152">
        <f t="shared" si="0"/>
        <v>0</v>
      </c>
      <c r="I27" s="1151"/>
      <c r="J27" s="1141"/>
      <c r="K27" s="2069">
        <f t="shared" si="1"/>
        <v>0</v>
      </c>
      <c r="L27" s="2070"/>
      <c r="M27" s="2070"/>
      <c r="N27" s="2070"/>
      <c r="O27" s="2070"/>
      <c r="P27" s="2065"/>
      <c r="Q27" s="1150"/>
      <c r="AC27" s="1071">
        <v>11</v>
      </c>
    </row>
    <row r="28" spans="6:29" ht="11.45" customHeight="1">
      <c r="F28" s="1146">
        <v>2</v>
      </c>
      <c r="G28" s="626" t="s">
        <v>1203</v>
      </c>
      <c r="H28" s="1152">
        <f t="shared" si="0"/>
        <v>0</v>
      </c>
      <c r="I28" s="1152">
        <f>SUM(I29:I31)</f>
        <v>0</v>
      </c>
      <c r="J28" s="1141"/>
      <c r="K28" s="2069">
        <f t="shared" si="1"/>
        <v>0</v>
      </c>
      <c r="L28" s="2069">
        <f>SUM(L29:L31)</f>
        <v>0</v>
      </c>
      <c r="M28" s="2069">
        <f>SUM(M29:M31)</f>
        <v>0</v>
      </c>
      <c r="N28" s="2069">
        <f>SUM(N29:N31)</f>
        <v>0</v>
      </c>
      <c r="O28" s="2069">
        <f>SUM(O29:O31)</f>
        <v>0</v>
      </c>
      <c r="P28" s="2065"/>
      <c r="Q28" s="1150"/>
      <c r="AC28" s="1071">
        <v>11</v>
      </c>
    </row>
    <row r="29" spans="6:29" ht="11.45" customHeight="1">
      <c r="F29" s="1146" t="s">
        <v>795</v>
      </c>
      <c r="G29" s="1153" t="s">
        <v>1204</v>
      </c>
      <c r="H29" s="1152">
        <f t="shared" si="0"/>
        <v>0</v>
      </c>
      <c r="I29" s="1151"/>
      <c r="J29" s="1141"/>
      <c r="K29" s="2069">
        <f t="shared" si="1"/>
        <v>0</v>
      </c>
      <c r="L29" s="2070"/>
      <c r="M29" s="2070"/>
      <c r="N29" s="2070"/>
      <c r="O29" s="2070"/>
      <c r="P29" s="2065"/>
      <c r="Q29" s="1150"/>
      <c r="AC29" s="1071">
        <v>11</v>
      </c>
    </row>
    <row r="30" spans="6:29" ht="11.45" customHeight="1">
      <c r="F30" s="1146" t="s">
        <v>306</v>
      </c>
      <c r="G30" s="1153" t="s">
        <v>1205</v>
      </c>
      <c r="H30" s="1152">
        <f t="shared" si="0"/>
        <v>0</v>
      </c>
      <c r="I30" s="1151"/>
      <c r="J30" s="1141"/>
      <c r="K30" s="2069">
        <f t="shared" si="1"/>
        <v>0</v>
      </c>
      <c r="L30" s="2070"/>
      <c r="M30" s="2070"/>
      <c r="N30" s="2070"/>
      <c r="O30" s="2070"/>
      <c r="P30" s="2065"/>
      <c r="Q30" s="1150"/>
      <c r="AC30" s="1071">
        <v>11</v>
      </c>
    </row>
    <row r="31" spans="6:29" ht="11.45" customHeight="1">
      <c r="F31" s="1146" t="s">
        <v>309</v>
      </c>
      <c r="G31" s="1153" t="s">
        <v>1206</v>
      </c>
      <c r="H31" s="1152">
        <f t="shared" si="0"/>
        <v>0</v>
      </c>
      <c r="I31" s="1151"/>
      <c r="J31" s="1141"/>
      <c r="K31" s="2069">
        <f t="shared" si="1"/>
        <v>0</v>
      </c>
      <c r="L31" s="2070"/>
      <c r="M31" s="2070"/>
      <c r="N31" s="2070"/>
      <c r="O31" s="2070"/>
      <c r="P31" s="2065"/>
      <c r="Q31" s="1150"/>
      <c r="AC31" s="1071">
        <v>11</v>
      </c>
    </row>
    <row r="32" spans="6:29" ht="11.45" customHeight="1">
      <c r="F32" s="1146">
        <v>3</v>
      </c>
      <c r="G32" s="626" t="s">
        <v>1207</v>
      </c>
      <c r="H32" s="1152">
        <f t="shared" si="0"/>
        <v>0</v>
      </c>
      <c r="I32" s="1152">
        <f>SUM(I33:I34)</f>
        <v>0</v>
      </c>
      <c r="J32" s="1141"/>
      <c r="K32" s="2069">
        <f t="shared" si="1"/>
        <v>0</v>
      </c>
      <c r="L32" s="2069">
        <f>SUM(L33:L34)</f>
        <v>0</v>
      </c>
      <c r="M32" s="2069">
        <f>SUM(M33:M34)</f>
        <v>0</v>
      </c>
      <c r="N32" s="2069">
        <f>SUM(N33:N34)</f>
        <v>0</v>
      </c>
      <c r="O32" s="2069">
        <f>SUM(O33:O34)</f>
        <v>0</v>
      </c>
      <c r="P32" s="2065"/>
      <c r="Q32" s="1150"/>
      <c r="AC32" s="1071">
        <v>11</v>
      </c>
    </row>
    <row r="33" spans="6:29" ht="48.2" customHeight="1">
      <c r="F33" s="1146" t="s">
        <v>323</v>
      </c>
      <c r="G33" s="1153" t="s">
        <v>1208</v>
      </c>
      <c r="H33" s="1152">
        <f t="shared" si="0"/>
        <v>0</v>
      </c>
      <c r="I33" s="1151"/>
      <c r="J33" s="1141"/>
      <c r="K33" s="2069">
        <f t="shared" si="1"/>
        <v>0</v>
      </c>
      <c r="L33" s="2070"/>
      <c r="M33" s="2070"/>
      <c r="N33" s="2070"/>
      <c r="O33" s="2070"/>
      <c r="P33" s="2065"/>
      <c r="Q33" s="1150"/>
      <c r="AC33" s="1071">
        <v>46</v>
      </c>
    </row>
    <row r="34" spans="6:29" ht="11.45" customHeight="1">
      <c r="F34" s="1146" t="s">
        <v>331</v>
      </c>
      <c r="G34" s="1153" t="s">
        <v>1209</v>
      </c>
      <c r="H34" s="1152">
        <f t="shared" si="0"/>
        <v>0</v>
      </c>
      <c r="I34" s="1151"/>
      <c r="J34" s="1141"/>
      <c r="K34" s="2069">
        <f t="shared" si="1"/>
        <v>0</v>
      </c>
      <c r="L34" s="2070"/>
      <c r="M34" s="2070"/>
      <c r="N34" s="2070"/>
      <c r="O34" s="2070"/>
      <c r="P34" s="2065"/>
      <c r="Q34" s="1150"/>
      <c r="AC34" s="1071">
        <v>11</v>
      </c>
    </row>
    <row r="35" spans="6:29" ht="11.45" customHeight="1">
      <c r="F35" s="1146">
        <v>4</v>
      </c>
      <c r="G35" s="626" t="s">
        <v>1210</v>
      </c>
      <c r="H35" s="1152">
        <f t="shared" si="0"/>
        <v>0</v>
      </c>
      <c r="I35" s="1151"/>
      <c r="J35" s="1141"/>
      <c r="K35" s="2069">
        <f t="shared" si="1"/>
        <v>0</v>
      </c>
      <c r="L35" s="2070"/>
      <c r="M35" s="2070"/>
      <c r="N35" s="2070"/>
      <c r="O35" s="2070"/>
      <c r="P35" s="2065"/>
      <c r="Q35" s="1150"/>
      <c r="AC35" s="1071">
        <v>11</v>
      </c>
    </row>
    <row r="36" spans="6:29" ht="11.45" customHeight="1">
      <c r="F36" s="1146"/>
      <c r="G36" s="629" t="s">
        <v>1211</v>
      </c>
      <c r="H36" s="1152">
        <f t="shared" si="0"/>
        <v>0</v>
      </c>
      <c r="I36" s="1152">
        <f>SUM(I15,I28,I32,I35)</f>
        <v>0</v>
      </c>
      <c r="J36" s="1141"/>
      <c r="K36" s="2069">
        <f t="shared" si="1"/>
        <v>0</v>
      </c>
      <c r="L36" s="2069">
        <f>SUM(L15,L28,L32,L35)</f>
        <v>0</v>
      </c>
      <c r="M36" s="2069">
        <f>SUM(M15,M28,M32,M35)</f>
        <v>0</v>
      </c>
      <c r="N36" s="2069">
        <f>SUM(N15,N28,N32,N35)</f>
        <v>0</v>
      </c>
      <c r="O36" s="2069">
        <f>SUM(O15,O28,O32,O35)</f>
        <v>0</v>
      </c>
      <c r="P36" s="2065"/>
      <c r="Q36" s="1150"/>
      <c r="AC36" s="1071">
        <v>11</v>
      </c>
    </row>
    <row r="37" spans="6:29" ht="29.25" customHeight="1">
      <c r="F37" s="1147" t="s">
        <v>1212</v>
      </c>
      <c r="G37" s="2733" t="s">
        <v>1213</v>
      </c>
      <c r="H37" s="2733"/>
      <c r="I37" s="2733"/>
      <c r="J37" s="2733"/>
      <c r="K37" s="2071"/>
      <c r="L37" s="2071"/>
      <c r="M37" s="2071"/>
      <c r="N37" s="2071"/>
      <c r="O37" s="2071"/>
      <c r="P37" s="2071"/>
      <c r="Q37" s="1150"/>
      <c r="AC37" s="1071">
        <v>28</v>
      </c>
    </row>
    <row r="38" spans="6:29" ht="24" customHeight="1">
      <c r="F38" s="1146" t="s">
        <v>109</v>
      </c>
      <c r="G38" s="626" t="s">
        <v>1214</v>
      </c>
      <c r="H38" s="1152">
        <f t="shared" ref="H38:H58" si="2">SUM(I38:J38)</f>
        <v>0</v>
      </c>
      <c r="I38" s="1152">
        <f>SUM(I39,I44,I47)</f>
        <v>0</v>
      </c>
      <c r="J38" s="1141"/>
      <c r="K38" s="2069">
        <f t="shared" ref="K38:K58" si="3">SUM(L38:P38)</f>
        <v>0</v>
      </c>
      <c r="L38" s="2069">
        <f>SUM(L39,L44,L47)</f>
        <v>0</v>
      </c>
      <c r="M38" s="2069">
        <f>SUM(M39,M44,M47)</f>
        <v>0</v>
      </c>
      <c r="N38" s="2069">
        <f>SUM(N39,N44,N47)</f>
        <v>0</v>
      </c>
      <c r="O38" s="2069">
        <f>SUM(O39,O44,O47)</f>
        <v>0</v>
      </c>
      <c r="P38" s="2065"/>
      <c r="Q38" s="1150"/>
      <c r="AC38" s="1071">
        <v>23</v>
      </c>
    </row>
    <row r="39" spans="6:29" ht="11.45" customHeight="1">
      <c r="F39" s="1146" t="s">
        <v>1179</v>
      </c>
      <c r="G39" s="1153" t="s">
        <v>1178</v>
      </c>
      <c r="H39" s="1152">
        <f t="shared" si="2"/>
        <v>0</v>
      </c>
      <c r="I39" s="1152">
        <f>SUM(I40:I43)</f>
        <v>0</v>
      </c>
      <c r="J39" s="1141"/>
      <c r="K39" s="2069">
        <f t="shared" si="3"/>
        <v>0</v>
      </c>
      <c r="L39" s="2069">
        <f>SUM(L40:L43)</f>
        <v>0</v>
      </c>
      <c r="M39" s="2069">
        <f>SUM(M40:M43)</f>
        <v>0</v>
      </c>
      <c r="N39" s="2069">
        <f>SUM(N40:N43)</f>
        <v>0</v>
      </c>
      <c r="O39" s="2069">
        <f>SUM(O40:O43)</f>
        <v>0</v>
      </c>
      <c r="P39" s="2065"/>
      <c r="Q39" s="1150"/>
      <c r="AC39" s="1071">
        <v>11</v>
      </c>
    </row>
    <row r="40" spans="6:29" ht="24" customHeight="1">
      <c r="F40" s="1146" t="s">
        <v>1215</v>
      </c>
      <c r="G40" s="1154" t="s">
        <v>1216</v>
      </c>
      <c r="H40" s="1152">
        <f t="shared" si="2"/>
        <v>0</v>
      </c>
      <c r="I40" s="1151"/>
      <c r="J40" s="1141"/>
      <c r="K40" s="2069">
        <f t="shared" si="3"/>
        <v>0</v>
      </c>
      <c r="L40" s="2070"/>
      <c r="M40" s="2070"/>
      <c r="N40" s="2070"/>
      <c r="O40" s="2070"/>
      <c r="P40" s="2065"/>
      <c r="Q40" s="1150"/>
      <c r="AC40" s="1071">
        <v>23</v>
      </c>
    </row>
    <row r="41" spans="6:29" ht="11.45" customHeight="1">
      <c r="F41" s="1146" t="s">
        <v>1217</v>
      </c>
      <c r="G41" s="1154" t="s">
        <v>1218</v>
      </c>
      <c r="H41" s="1152">
        <f t="shared" si="2"/>
        <v>0</v>
      </c>
      <c r="I41" s="1151"/>
      <c r="J41" s="1141"/>
      <c r="K41" s="2069">
        <f t="shared" si="3"/>
        <v>0</v>
      </c>
      <c r="L41" s="2070"/>
      <c r="M41" s="2070"/>
      <c r="N41" s="2070"/>
      <c r="O41" s="2070"/>
      <c r="P41" s="2065"/>
      <c r="Q41" s="1150"/>
      <c r="AC41" s="1071">
        <v>11</v>
      </c>
    </row>
    <row r="42" spans="6:29" ht="11.45" customHeight="1">
      <c r="F42" s="1146" t="s">
        <v>1219</v>
      </c>
      <c r="G42" s="1154" t="s">
        <v>1220</v>
      </c>
      <c r="H42" s="1152">
        <f t="shared" si="2"/>
        <v>0</v>
      </c>
      <c r="I42" s="1151"/>
      <c r="J42" s="1141"/>
      <c r="K42" s="2069">
        <f t="shared" si="3"/>
        <v>0</v>
      </c>
      <c r="L42" s="2070"/>
      <c r="M42" s="2070"/>
      <c r="N42" s="2070"/>
      <c r="O42" s="2070"/>
      <c r="P42" s="2065"/>
      <c r="Q42" s="1150"/>
      <c r="AC42" s="1071">
        <v>11</v>
      </c>
    </row>
    <row r="43" spans="6:29" ht="35.65" customHeight="1">
      <c r="F43" s="1146" t="s">
        <v>1221</v>
      </c>
      <c r="G43" s="1154" t="s">
        <v>1222</v>
      </c>
      <c r="H43" s="1152">
        <f t="shared" si="2"/>
        <v>0</v>
      </c>
      <c r="I43" s="1151"/>
      <c r="J43" s="1141"/>
      <c r="K43" s="2069">
        <f t="shared" si="3"/>
        <v>0</v>
      </c>
      <c r="L43" s="2070"/>
      <c r="M43" s="2070"/>
      <c r="N43" s="2070"/>
      <c r="O43" s="2070"/>
      <c r="P43" s="2065"/>
      <c r="Q43" s="1150"/>
      <c r="AC43" s="1071">
        <v>34</v>
      </c>
    </row>
    <row r="44" spans="6:29" ht="11.45" customHeight="1">
      <c r="F44" s="1146" t="s">
        <v>1181</v>
      </c>
      <c r="G44" s="1153" t="s">
        <v>1207</v>
      </c>
      <c r="H44" s="1152">
        <f t="shared" si="2"/>
        <v>0</v>
      </c>
      <c r="I44" s="1152">
        <f>SUM(I45:I46)</f>
        <v>0</v>
      </c>
      <c r="J44" s="1141"/>
      <c r="K44" s="2069">
        <f t="shared" si="3"/>
        <v>0</v>
      </c>
      <c r="L44" s="2069">
        <f>SUM(L45:L46)</f>
        <v>0</v>
      </c>
      <c r="M44" s="2069">
        <f>SUM(M45:M46)</f>
        <v>0</v>
      </c>
      <c r="N44" s="2069">
        <f>SUM(N45:N46)</f>
        <v>0</v>
      </c>
      <c r="O44" s="2069">
        <f>SUM(O45:O46)</f>
        <v>0</v>
      </c>
      <c r="P44" s="2065"/>
      <c r="Q44" s="1150"/>
      <c r="AC44" s="1071">
        <v>11</v>
      </c>
    </row>
    <row r="45" spans="6:29" ht="48.2" customHeight="1">
      <c r="F45" s="1146" t="s">
        <v>1223</v>
      </c>
      <c r="G45" s="1154" t="s">
        <v>1208</v>
      </c>
      <c r="H45" s="1152">
        <f t="shared" si="2"/>
        <v>0</v>
      </c>
      <c r="I45" s="1151"/>
      <c r="J45" s="1141"/>
      <c r="K45" s="2069">
        <f t="shared" si="3"/>
        <v>0</v>
      </c>
      <c r="L45" s="2070"/>
      <c r="M45" s="2070"/>
      <c r="N45" s="2070"/>
      <c r="O45" s="2070"/>
      <c r="P45" s="2065"/>
      <c r="Q45" s="1150"/>
      <c r="AC45" s="1071">
        <v>46</v>
      </c>
    </row>
    <row r="46" spans="6:29" ht="11.45" customHeight="1">
      <c r="F46" s="1146" t="s">
        <v>1224</v>
      </c>
      <c r="G46" s="1154" t="s">
        <v>1209</v>
      </c>
      <c r="H46" s="1152">
        <f t="shared" si="2"/>
        <v>0</v>
      </c>
      <c r="I46" s="1151"/>
      <c r="J46" s="1141"/>
      <c r="K46" s="2069">
        <f t="shared" si="3"/>
        <v>0</v>
      </c>
      <c r="L46" s="2070"/>
      <c r="M46" s="2070"/>
      <c r="N46" s="2070"/>
      <c r="O46" s="2070"/>
      <c r="P46" s="2065"/>
      <c r="Q46" s="1150"/>
      <c r="AC46" s="1071">
        <v>11</v>
      </c>
    </row>
    <row r="47" spans="6:29" ht="11.45" customHeight="1">
      <c r="F47" s="1146" t="s">
        <v>1183</v>
      </c>
      <c r="G47" s="1153" t="s">
        <v>1225</v>
      </c>
      <c r="H47" s="1152">
        <f t="shared" si="2"/>
        <v>0</v>
      </c>
      <c r="I47" s="1151"/>
      <c r="J47" s="1141"/>
      <c r="K47" s="2069">
        <f t="shared" si="3"/>
        <v>0</v>
      </c>
      <c r="L47" s="2070"/>
      <c r="M47" s="2070"/>
      <c r="N47" s="2070"/>
      <c r="O47" s="2070"/>
      <c r="P47" s="2065"/>
      <c r="Q47" s="1150"/>
      <c r="AC47" s="1071">
        <v>11</v>
      </c>
    </row>
    <row r="48" spans="6:29" ht="24" customHeight="1">
      <c r="F48" s="1146" t="s">
        <v>110</v>
      </c>
      <c r="G48" s="626" t="s">
        <v>1226</v>
      </c>
      <c r="H48" s="1152">
        <f t="shared" si="2"/>
        <v>0</v>
      </c>
      <c r="I48" s="1152">
        <f>SUM(I49,I54,I57)</f>
        <v>0</v>
      </c>
      <c r="J48" s="1141"/>
      <c r="K48" s="2069">
        <f t="shared" si="3"/>
        <v>0</v>
      </c>
      <c r="L48" s="2069">
        <f>SUM(L49,L54,L57)</f>
        <v>0</v>
      </c>
      <c r="M48" s="2069">
        <f>SUM(M49,M54,M57)</f>
        <v>0</v>
      </c>
      <c r="N48" s="2069">
        <f>SUM(N49,N54,N57)</f>
        <v>0</v>
      </c>
      <c r="O48" s="2069">
        <f>SUM(O49,O54,O57)</f>
        <v>0</v>
      </c>
      <c r="P48" s="2065"/>
      <c r="Q48" s="1150"/>
      <c r="AC48" s="1071">
        <v>23</v>
      </c>
    </row>
    <row r="49" spans="1:29" ht="11.45" customHeight="1">
      <c r="F49" s="1146" t="s">
        <v>795</v>
      </c>
      <c r="G49" s="1153" t="s">
        <v>1178</v>
      </c>
      <c r="H49" s="1152">
        <f t="shared" si="2"/>
        <v>0</v>
      </c>
      <c r="I49" s="1152">
        <f>SUM(I50:I53)</f>
        <v>0</v>
      </c>
      <c r="J49" s="1141"/>
      <c r="K49" s="2069">
        <f t="shared" si="3"/>
        <v>0</v>
      </c>
      <c r="L49" s="2069">
        <f>SUM(L50:L53)</f>
        <v>0</v>
      </c>
      <c r="M49" s="2069">
        <f>SUM(M50:M53)</f>
        <v>0</v>
      </c>
      <c r="N49" s="2069">
        <f>SUM(N50:N53)</f>
        <v>0</v>
      </c>
      <c r="O49" s="2069">
        <f>SUM(O50:O53)</f>
        <v>0</v>
      </c>
      <c r="P49" s="2065"/>
      <c r="Q49" s="1150"/>
      <c r="AC49" s="1071">
        <v>11</v>
      </c>
    </row>
    <row r="50" spans="1:29" ht="24" customHeight="1">
      <c r="F50" s="1146" t="s">
        <v>798</v>
      </c>
      <c r="G50" s="1154" t="s">
        <v>1216</v>
      </c>
      <c r="H50" s="1152">
        <f t="shared" si="2"/>
        <v>0</v>
      </c>
      <c r="I50" s="1151"/>
      <c r="J50" s="1141"/>
      <c r="K50" s="2069">
        <f t="shared" si="3"/>
        <v>0</v>
      </c>
      <c r="L50" s="2070"/>
      <c r="M50" s="2070"/>
      <c r="N50" s="2070"/>
      <c r="O50" s="2070"/>
      <c r="P50" s="2065"/>
      <c r="Q50" s="1150"/>
      <c r="AC50" s="1071">
        <v>23</v>
      </c>
    </row>
    <row r="51" spans="1:29" ht="11.45" customHeight="1">
      <c r="F51" s="1146" t="s">
        <v>801</v>
      </c>
      <c r="G51" s="1154" t="s">
        <v>1218</v>
      </c>
      <c r="H51" s="1152">
        <f t="shared" si="2"/>
        <v>0</v>
      </c>
      <c r="I51" s="1151"/>
      <c r="J51" s="1141"/>
      <c r="K51" s="2069">
        <f t="shared" si="3"/>
        <v>0</v>
      </c>
      <c r="L51" s="2070"/>
      <c r="M51" s="2070"/>
      <c r="N51" s="2070"/>
      <c r="O51" s="2070"/>
      <c r="P51" s="2065"/>
      <c r="Q51" s="1150"/>
      <c r="AC51" s="1071">
        <v>11</v>
      </c>
    </row>
    <row r="52" spans="1:29" ht="11.45" customHeight="1">
      <c r="F52" s="1146" t="s">
        <v>1227</v>
      </c>
      <c r="G52" s="1154" t="s">
        <v>1220</v>
      </c>
      <c r="H52" s="1152">
        <f t="shared" si="2"/>
        <v>0</v>
      </c>
      <c r="I52" s="1151"/>
      <c r="J52" s="1141"/>
      <c r="K52" s="2069">
        <f t="shared" si="3"/>
        <v>0</v>
      </c>
      <c r="L52" s="2070"/>
      <c r="M52" s="2070"/>
      <c r="N52" s="2070"/>
      <c r="O52" s="2070"/>
      <c r="P52" s="2065"/>
      <c r="Q52" s="1150"/>
      <c r="AC52" s="1071">
        <v>11</v>
      </c>
    </row>
    <row r="53" spans="1:29" ht="35.65" customHeight="1">
      <c r="F53" s="1146" t="s">
        <v>1228</v>
      </c>
      <c r="G53" s="1154" t="s">
        <v>1222</v>
      </c>
      <c r="H53" s="1152">
        <f t="shared" si="2"/>
        <v>0</v>
      </c>
      <c r="I53" s="1151"/>
      <c r="J53" s="1141"/>
      <c r="K53" s="2069">
        <f t="shared" si="3"/>
        <v>0</v>
      </c>
      <c r="L53" s="2070"/>
      <c r="M53" s="2070"/>
      <c r="N53" s="2070"/>
      <c r="O53" s="2070"/>
      <c r="P53" s="2065"/>
      <c r="Q53" s="1150"/>
      <c r="AC53" s="1071">
        <v>34</v>
      </c>
    </row>
    <row r="54" spans="1:29" ht="11.45" customHeight="1">
      <c r="F54" s="1146" t="s">
        <v>306</v>
      </c>
      <c r="G54" s="1153" t="s">
        <v>1207</v>
      </c>
      <c r="H54" s="1152">
        <f t="shared" si="2"/>
        <v>0</v>
      </c>
      <c r="I54" s="1152">
        <f>SUM(I55:I56)</f>
        <v>0</v>
      </c>
      <c r="J54" s="1141"/>
      <c r="K54" s="2069">
        <f t="shared" si="3"/>
        <v>0</v>
      </c>
      <c r="L54" s="2069">
        <f>SUM(L55:L56)</f>
        <v>0</v>
      </c>
      <c r="M54" s="2069">
        <f>SUM(M55:M56)</f>
        <v>0</v>
      </c>
      <c r="N54" s="2069">
        <f>SUM(N55:N56)</f>
        <v>0</v>
      </c>
      <c r="O54" s="2069">
        <f>SUM(O55:O56)</f>
        <v>0</v>
      </c>
      <c r="P54" s="2065"/>
      <c r="Q54" s="1150"/>
      <c r="AC54" s="1071">
        <v>11</v>
      </c>
    </row>
    <row r="55" spans="1:29" ht="48.2" customHeight="1">
      <c r="F55" s="1146" t="s">
        <v>805</v>
      </c>
      <c r="G55" s="1154" t="s">
        <v>1208</v>
      </c>
      <c r="H55" s="1152">
        <f t="shared" si="2"/>
        <v>0</v>
      </c>
      <c r="I55" s="1151"/>
      <c r="J55" s="1141"/>
      <c r="K55" s="2069">
        <f t="shared" si="3"/>
        <v>0</v>
      </c>
      <c r="L55" s="2070"/>
      <c r="M55" s="2070"/>
      <c r="N55" s="2070"/>
      <c r="O55" s="2070"/>
      <c r="P55" s="2065"/>
      <c r="Q55" s="1150"/>
      <c r="AC55" s="1071">
        <v>46</v>
      </c>
    </row>
    <row r="56" spans="1:29" ht="11.45" customHeight="1">
      <c r="F56" s="1146" t="s">
        <v>807</v>
      </c>
      <c r="G56" s="1154" t="s">
        <v>1209</v>
      </c>
      <c r="H56" s="1152">
        <f t="shared" si="2"/>
        <v>0</v>
      </c>
      <c r="I56" s="1151"/>
      <c r="J56" s="1141"/>
      <c r="K56" s="2069">
        <f t="shared" si="3"/>
        <v>0</v>
      </c>
      <c r="L56" s="2070"/>
      <c r="M56" s="2070"/>
      <c r="N56" s="2070"/>
      <c r="O56" s="2070"/>
      <c r="P56" s="2065"/>
      <c r="Q56" s="1150"/>
      <c r="AC56" s="1071">
        <v>11</v>
      </c>
    </row>
    <row r="57" spans="1:29" ht="11.45" customHeight="1">
      <c r="F57" s="1146" t="s">
        <v>309</v>
      </c>
      <c r="G57" s="1153" t="s">
        <v>1225</v>
      </c>
      <c r="H57" s="1152">
        <f t="shared" si="2"/>
        <v>0</v>
      </c>
      <c r="I57" s="1151"/>
      <c r="J57" s="1141"/>
      <c r="K57" s="2069">
        <f t="shared" si="3"/>
        <v>0</v>
      </c>
      <c r="L57" s="2070"/>
      <c r="M57" s="2070"/>
      <c r="N57" s="2070"/>
      <c r="O57" s="2070"/>
      <c r="P57" s="2065"/>
      <c r="Q57" s="1150"/>
      <c r="AC57" s="1071">
        <v>11</v>
      </c>
    </row>
    <row r="58" spans="1:29" ht="11.45" customHeight="1">
      <c r="F58" s="1146"/>
      <c r="G58" s="1155" t="s">
        <v>1211</v>
      </c>
      <c r="H58" s="1152">
        <f t="shared" si="2"/>
        <v>0</v>
      </c>
      <c r="I58" s="1152">
        <f>SUM(I38,I48)</f>
        <v>0</v>
      </c>
      <c r="J58" s="1141"/>
      <c r="K58" s="2069">
        <f t="shared" si="3"/>
        <v>0</v>
      </c>
      <c r="L58" s="2069">
        <f>SUM(L38,L48)</f>
        <v>0</v>
      </c>
      <c r="M58" s="2069">
        <f>SUM(M38,M48)</f>
        <v>0</v>
      </c>
      <c r="N58" s="2069">
        <f>SUM(N38,N48)</f>
        <v>0</v>
      </c>
      <c r="O58" s="2069">
        <f>SUM(O38,O48)</f>
        <v>0</v>
      </c>
      <c r="P58" s="2065"/>
      <c r="Q58" s="1150"/>
      <c r="AC58" s="1071">
        <v>11</v>
      </c>
    </row>
    <row r="59" spans="1:29" ht="10.5" hidden="1" customHeight="1">
      <c r="A59" s="1082" t="s">
        <v>82</v>
      </c>
      <c r="B59" s="1082">
        <v>0</v>
      </c>
      <c r="C59" s="1082">
        <v>0</v>
      </c>
      <c r="D59" s="1076">
        <v>0</v>
      </c>
      <c r="E59" s="445">
        <v>3</v>
      </c>
      <c r="F59" s="1071">
        <v>6</v>
      </c>
      <c r="G59" s="1071">
        <v>60</v>
      </c>
      <c r="H59" s="1071">
        <v>0</v>
      </c>
      <c r="I59" s="1071">
        <v>0</v>
      </c>
      <c r="J59" s="1071">
        <v>0</v>
      </c>
      <c r="K59" s="2057">
        <v>0</v>
      </c>
      <c r="L59" s="2057">
        <v>0</v>
      </c>
      <c r="M59" s="2057">
        <v>0</v>
      </c>
      <c r="N59" s="2057">
        <v>0</v>
      </c>
      <c r="O59" s="2057">
        <v>0</v>
      </c>
      <c r="P59" s="2057">
        <v>0</v>
      </c>
      <c r="Q59" s="1071">
        <v>1</v>
      </c>
      <c r="R59" s="1071">
        <v>8</v>
      </c>
      <c r="S59" s="1071">
        <v>8</v>
      </c>
      <c r="T59" s="1071">
        <v>8</v>
      </c>
      <c r="U59" s="1071">
        <v>8</v>
      </c>
      <c r="V59" s="1071">
        <v>8</v>
      </c>
      <c r="W59" s="1071">
        <v>8</v>
      </c>
      <c r="X59" s="1071">
        <v>8</v>
      </c>
      <c r="Y59" s="1071">
        <v>8</v>
      </c>
      <c r="Z59" s="1071">
        <v>8</v>
      </c>
      <c r="AA59" s="1071">
        <v>8</v>
      </c>
      <c r="AB59" s="1071">
        <v>8</v>
      </c>
      <c r="AC59" s="1071">
        <v>10</v>
      </c>
    </row>
  </sheetData>
  <sheetProtection formatColumns="0" formatRows="0" insertRows="0" deleteColumns="0" deleteRows="0" sort="0" autoFilter="0"/>
  <mergeCells count="11">
    <mergeCell ref="K10:P10"/>
    <mergeCell ref="K11:P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O16 L17:O17 L18:O18 L19:O19 L20:O20 L21:O21 L22:O22 L23:O23 L24:O24 L25:O25 L26:O26 L27:O27 L29:O29 L30:O30 L31:O31 L33:O33 L34:O34 L35:O35 L40:O40 L41:O41 L42:O42 L43:O43 L45:O45 L46:O46 L47:O47 L50:O50 L51:O51 L52:O52 L53:O53 L55:O55 L56:O56 L57:O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8"/>
  <sheetViews>
    <sheetView showGridLines="0" zoomScale="90" workbookViewId="0">
      <pane xSplit="14" ySplit="17" topLeftCell="O21" activePane="bottomRight" state="frozen"/>
      <selection pane="topRight" activeCell="O1" sqref="O1"/>
      <selection pane="bottomLeft" activeCell="A18" sqref="A18"/>
      <selection pane="bottomRight" activeCell="E22" sqref="E22"/>
    </sheetView>
  </sheetViews>
  <sheetFormatPr defaultColWidth="9.140625" defaultRowHeight="12" customHeight="1"/>
  <cols>
    <col min="1" max="1" width="4.7109375" style="2354" hidden="1" customWidth="1"/>
    <col min="2" max="2" width="4.7109375" style="2355" hidden="1" customWidth="1"/>
    <col min="3" max="4" width="4.7109375" style="2354" hidden="1" customWidth="1"/>
    <col min="5" max="5" width="3" style="2354" customWidth="1"/>
    <col min="6" max="6" width="6" style="2354" customWidth="1"/>
    <col min="7" max="7" width="18" style="2354" customWidth="1"/>
    <col min="8" max="8" width="27" style="2354" customWidth="1"/>
    <col min="9" max="9" width="18" style="2354" customWidth="1"/>
    <col min="10" max="14" width="0.85546875" style="2354" hidden="1" customWidth="1"/>
    <col min="15" max="28" width="21.7109375" style="2354" customWidth="1"/>
    <col min="29" max="71" width="0.85546875" style="2354" customWidth="1"/>
    <col min="72" max="79" width="21.7109375" style="2354" hidden="1" customWidth="1"/>
    <col min="80" max="81" width="29.140625" style="2354" hidden="1" customWidth="1"/>
    <col min="82" max="89" width="21.7109375" style="2354" hidden="1" customWidth="1"/>
    <col min="90" max="102" width="0.7109375" style="2354" hidden="1" customWidth="1"/>
    <col min="103" max="114" width="21.7109375" style="2354" hidden="1" customWidth="1"/>
    <col min="115" max="178" width="0.7109375" style="2354" hidden="1" customWidth="1"/>
    <col min="179" max="179" width="0.140625" style="2354" customWidth="1"/>
    <col min="180" max="184" width="8" style="2354" customWidth="1"/>
    <col min="185" max="185" width="9.140625" style="2354" hidden="1"/>
  </cols>
  <sheetData>
    <row r="1" spans="2:185" s="2351" customFormat="1" ht="12" hidden="1" customHeight="1">
      <c r="B1" s="848"/>
      <c r="C1" s="849"/>
      <c r="D1" s="849"/>
      <c r="GC1" s="847" t="s">
        <v>14</v>
      </c>
    </row>
    <row r="2" spans="2:185" s="2351"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351"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348" customFormat="1" ht="27.4" customHeight="1">
      <c r="B5" s="1784"/>
      <c r="E5" s="1786"/>
      <c r="F5" s="275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79"/>
      <c r="H5" s="2479"/>
      <c r="I5" s="2479"/>
      <c r="J5" s="2479"/>
      <c r="K5" s="2479"/>
      <c r="L5" s="2479"/>
      <c r="M5" s="2479"/>
      <c r="N5" s="2479"/>
      <c r="O5" s="2479"/>
      <c r="P5" s="2479"/>
      <c r="Q5" s="2479"/>
      <c r="R5" s="2479"/>
      <c r="S5" s="2479"/>
      <c r="T5" s="2479"/>
      <c r="U5" s="2479"/>
      <c r="V5" s="2479"/>
      <c r="W5" s="2479"/>
      <c r="X5" s="2479"/>
      <c r="Y5" s="2479"/>
      <c r="Z5" s="2479"/>
      <c r="AA5" s="2479"/>
      <c r="AB5" s="2479"/>
      <c r="AC5" s="2479"/>
      <c r="AD5" s="2479"/>
      <c r="AE5" s="2479"/>
      <c r="AF5" s="2479"/>
      <c r="AG5" s="2479"/>
      <c r="AH5" s="2479"/>
      <c r="AI5" s="2479"/>
      <c r="AJ5" s="2479"/>
      <c r="AK5" s="2479"/>
      <c r="AL5" s="2479"/>
      <c r="AM5" s="2479"/>
      <c r="AN5" s="2479"/>
      <c r="AO5" s="2479"/>
      <c r="AP5" s="2479"/>
      <c r="AQ5" s="2479"/>
      <c r="AR5" s="2479"/>
      <c r="AS5" s="2479"/>
      <c r="AT5" s="2479"/>
      <c r="AU5" s="2479"/>
      <c r="AV5" s="2479"/>
      <c r="AW5" s="2479"/>
      <c r="AX5" s="2479"/>
      <c r="AY5" s="2479"/>
      <c r="AZ5" s="2479"/>
      <c r="BA5" s="2479"/>
      <c r="BB5" s="2479"/>
      <c r="BC5" s="2479"/>
      <c r="BD5" s="2479"/>
      <c r="BE5" s="2479"/>
      <c r="BF5" s="2479"/>
      <c r="BG5" s="2479"/>
      <c r="BH5" s="2479"/>
      <c r="BI5" s="2479"/>
      <c r="BJ5" s="2479"/>
      <c r="BK5" s="2479"/>
      <c r="BL5" s="2479"/>
      <c r="BM5" s="2479"/>
      <c r="BN5" s="2479"/>
      <c r="BO5" s="2479"/>
      <c r="BP5" s="2479"/>
      <c r="BQ5" s="2479"/>
      <c r="BR5" s="2479"/>
      <c r="BS5" s="2479"/>
      <c r="GC5" s="1785">
        <v>26</v>
      </c>
    </row>
    <row r="6" spans="2:185" s="2379" customFormat="1" ht="18.75" customHeight="1">
      <c r="B6" s="868"/>
      <c r="E6" s="870"/>
      <c r="F6" s="2538" t="str">
        <f>IF(org=0,"Не определено",org)</f>
        <v>ООО "Пятигорсктеплосервис"</v>
      </c>
      <c r="G6" s="2539"/>
      <c r="H6" s="2539"/>
      <c r="I6" s="2539"/>
      <c r="J6" s="2539"/>
      <c r="K6" s="2539"/>
      <c r="L6" s="2539"/>
      <c r="M6" s="2539"/>
      <c r="N6" s="2539"/>
      <c r="O6" s="2539"/>
      <c r="P6" s="2539"/>
      <c r="Q6" s="2539"/>
      <c r="R6" s="2539"/>
      <c r="S6" s="2539"/>
      <c r="T6" s="2539"/>
      <c r="U6" s="2539"/>
      <c r="V6" s="2539"/>
      <c r="W6" s="2539"/>
      <c r="X6" s="2539"/>
      <c r="Y6" s="2539"/>
      <c r="Z6" s="2539"/>
      <c r="AA6" s="2539"/>
      <c r="AB6" s="2539"/>
      <c r="AC6" s="2539"/>
      <c r="AD6" s="2539"/>
      <c r="AE6" s="2539"/>
      <c r="AF6" s="2539"/>
      <c r="AG6" s="2539"/>
      <c r="AH6" s="2539"/>
      <c r="AI6" s="2539"/>
      <c r="AJ6" s="2539"/>
      <c r="AK6" s="2539"/>
      <c r="AL6" s="2539"/>
      <c r="AM6" s="2539"/>
      <c r="AN6" s="2539"/>
      <c r="AO6" s="2539"/>
      <c r="AP6" s="2539"/>
      <c r="AQ6" s="2539"/>
      <c r="AR6" s="2539"/>
      <c r="AS6" s="2539"/>
      <c r="AT6" s="2539"/>
      <c r="AU6" s="2539"/>
      <c r="AV6" s="2539"/>
      <c r="AW6" s="2539"/>
      <c r="AX6" s="2539"/>
      <c r="AY6" s="2539"/>
      <c r="AZ6" s="2539"/>
      <c r="BA6" s="2539"/>
      <c r="BB6" s="2539"/>
      <c r="BC6" s="2539"/>
      <c r="BD6" s="2539"/>
      <c r="BE6" s="2539"/>
      <c r="BF6" s="2539"/>
      <c r="BG6" s="2539"/>
      <c r="BH6" s="2539"/>
      <c r="BI6" s="2539"/>
      <c r="BJ6" s="2539"/>
      <c r="BK6" s="2539"/>
      <c r="BL6" s="2539"/>
      <c r="BM6" s="2539"/>
      <c r="BN6" s="2539"/>
      <c r="BO6" s="2539"/>
      <c r="BP6" s="2539"/>
      <c r="BQ6" s="2539"/>
      <c r="BR6" s="2539"/>
      <c r="BS6" s="2539"/>
      <c r="GC6" s="869">
        <v>18</v>
      </c>
    </row>
    <row r="7" spans="2:185" s="235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350" customFormat="1" ht="11.25" hidden="1" customHeight="1">
      <c r="B8" s="859"/>
      <c r="F8" s="977"/>
      <c r="G8" s="697"/>
      <c r="H8" s="296"/>
      <c r="I8" s="296"/>
      <c r="J8" s="296"/>
      <c r="K8" s="296"/>
      <c r="L8" s="296"/>
      <c r="M8" s="977"/>
      <c r="N8" s="977"/>
      <c r="O8" s="2748" t="s">
        <v>1229</v>
      </c>
      <c r="P8" s="2749"/>
      <c r="Q8" s="2749"/>
      <c r="R8" s="2749"/>
      <c r="S8" s="2749"/>
      <c r="T8" s="2749"/>
      <c r="U8" s="2749"/>
      <c r="V8" s="2749"/>
      <c r="W8" s="2749"/>
      <c r="X8" s="2749"/>
      <c r="Y8" s="2749"/>
      <c r="Z8" s="2749"/>
      <c r="AA8" s="2749"/>
      <c r="AB8" s="2749"/>
      <c r="AC8" s="2749"/>
      <c r="AD8" s="2749"/>
      <c r="AE8" s="2749"/>
      <c r="AF8" s="2749"/>
      <c r="AG8" s="2749"/>
      <c r="AH8" s="2749"/>
      <c r="AI8" s="2749"/>
      <c r="AJ8" s="2749"/>
      <c r="AK8" s="2749"/>
      <c r="AL8" s="2749"/>
      <c r="AM8" s="2749"/>
      <c r="AN8" s="2749"/>
      <c r="AO8" s="2749"/>
      <c r="AP8" s="2749"/>
      <c r="AQ8" s="2749"/>
      <c r="AR8" s="2749"/>
      <c r="AS8" s="2749"/>
      <c r="AT8" s="2749"/>
      <c r="AU8" s="2749"/>
      <c r="AV8" s="2749"/>
      <c r="AW8" s="2749"/>
      <c r="AX8" s="2749"/>
      <c r="AY8" s="2749"/>
      <c r="AZ8" s="2749"/>
      <c r="BA8" s="2749"/>
      <c r="BB8" s="2749"/>
      <c r="BC8" s="2749"/>
      <c r="BD8" s="2749"/>
      <c r="BE8" s="2749"/>
      <c r="BF8" s="2749"/>
      <c r="BG8" s="2749"/>
      <c r="BH8" s="2749"/>
      <c r="BI8" s="2749"/>
      <c r="BJ8" s="2749"/>
      <c r="BK8" s="2749"/>
      <c r="BL8" s="2749"/>
      <c r="BM8" s="2749"/>
      <c r="BN8" s="2749"/>
      <c r="BO8" s="2749"/>
      <c r="BP8" s="2749"/>
      <c r="BQ8" s="2749"/>
      <c r="BR8" s="2749"/>
      <c r="BS8" s="2750"/>
      <c r="BT8" s="2751"/>
      <c r="BU8" s="2752"/>
      <c r="BV8" s="2752"/>
      <c r="BW8" s="2752"/>
      <c r="BX8" s="2752"/>
      <c r="BY8" s="2752"/>
      <c r="BZ8" s="2752"/>
      <c r="CA8" s="2752"/>
      <c r="CB8" s="2752"/>
      <c r="CC8" s="2752"/>
      <c r="CD8" s="2752"/>
      <c r="CE8" s="2752"/>
      <c r="CF8" s="2752"/>
      <c r="CG8" s="2752"/>
      <c r="CH8" s="2752"/>
      <c r="CI8" s="2752"/>
      <c r="CJ8" s="2752"/>
      <c r="CK8" s="2752"/>
      <c r="CL8" s="2752"/>
      <c r="CM8" s="2752"/>
      <c r="CN8" s="2752"/>
      <c r="CO8" s="2752"/>
      <c r="CP8" s="2752"/>
      <c r="CQ8" s="2752"/>
      <c r="CR8" s="2752"/>
      <c r="CS8" s="2752"/>
      <c r="CT8" s="2752"/>
      <c r="CU8" s="2752"/>
      <c r="CV8" s="2752"/>
      <c r="CW8" s="2752"/>
      <c r="CX8" s="2753"/>
      <c r="CY8" s="2754"/>
      <c r="CZ8" s="2755"/>
      <c r="DA8" s="2755"/>
      <c r="DB8" s="2755"/>
      <c r="DC8" s="2755"/>
      <c r="DD8" s="2755"/>
      <c r="DE8" s="2755"/>
      <c r="DF8" s="2755"/>
      <c r="DG8" s="2755"/>
      <c r="DH8" s="2755"/>
      <c r="DI8" s="2755"/>
      <c r="DJ8" s="2755"/>
      <c r="DK8" s="2755"/>
      <c r="DL8" s="2755"/>
      <c r="DM8" s="2755"/>
      <c r="DN8" s="2755"/>
      <c r="DO8" s="2755"/>
      <c r="DP8" s="2755"/>
      <c r="DQ8" s="2755"/>
      <c r="DR8" s="2755"/>
      <c r="DS8" s="2755"/>
      <c r="DT8" s="2755"/>
      <c r="DU8" s="2755"/>
      <c r="DV8" s="2755"/>
      <c r="DW8" s="2755"/>
      <c r="DX8" s="2756"/>
      <c r="DY8" s="2742" t="s">
        <v>1230</v>
      </c>
      <c r="DZ8" s="2743"/>
      <c r="EA8" s="2743"/>
      <c r="EB8" s="2743"/>
      <c r="EC8" s="2743"/>
      <c r="ED8" s="2743"/>
      <c r="EE8" s="2743"/>
      <c r="EF8" s="2743"/>
      <c r="EG8" s="2743"/>
      <c r="EH8" s="2743"/>
      <c r="EI8" s="2743"/>
      <c r="EJ8" s="2743"/>
      <c r="EK8" s="2743"/>
      <c r="EL8" s="2743"/>
      <c r="EM8" s="2743"/>
      <c r="EN8" s="2743"/>
      <c r="EO8" s="2743"/>
      <c r="EP8" s="2743"/>
      <c r="EQ8" s="2743"/>
      <c r="ER8" s="2743"/>
      <c r="ES8" s="2743"/>
      <c r="ET8" s="2743"/>
      <c r="EU8" s="2743"/>
      <c r="EV8" s="2743"/>
      <c r="EW8" s="2743"/>
      <c r="EX8" s="2743"/>
      <c r="EY8" s="2743"/>
      <c r="EZ8" s="2743"/>
      <c r="FA8" s="2743"/>
      <c r="FB8" s="2743"/>
      <c r="FC8" s="2743"/>
      <c r="FD8" s="2743"/>
      <c r="FE8" s="2743"/>
      <c r="FF8" s="2743"/>
      <c r="FG8" s="2743"/>
      <c r="FH8" s="2743"/>
      <c r="FI8" s="2743"/>
      <c r="FJ8" s="2743"/>
      <c r="FK8" s="2743"/>
      <c r="FL8" s="2743"/>
      <c r="FM8" s="2743"/>
      <c r="FN8" s="2743"/>
      <c r="FO8" s="2743"/>
      <c r="FP8" s="2743"/>
      <c r="FQ8" s="2743"/>
      <c r="FR8" s="2743"/>
      <c r="FS8" s="2743"/>
      <c r="FT8" s="2743"/>
      <c r="FU8" s="2743"/>
      <c r="FV8" s="2743"/>
      <c r="FW8" s="2744"/>
      <c r="FX8" s="977"/>
      <c r="GC8" s="858">
        <v>0</v>
      </c>
    </row>
    <row r="9" spans="2:185" s="2350" customFormat="1" ht="11.25" hidden="1" customHeight="1">
      <c r="B9" s="859"/>
      <c r="F9" s="977"/>
      <c r="G9" s="697"/>
      <c r="H9" s="296"/>
      <c r="I9" s="296"/>
      <c r="J9" s="296"/>
      <c r="K9" s="296"/>
      <c r="L9" s="296"/>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745"/>
      <c r="FX9" s="977"/>
      <c r="GC9" s="858">
        <v>0</v>
      </c>
    </row>
    <row r="10" spans="2:185" s="2350" customFormat="1" ht="11.45" customHeight="1">
      <c r="B10" s="859"/>
      <c r="F10" s="2676" t="s">
        <v>299</v>
      </c>
      <c r="G10" s="2758"/>
      <c r="H10" s="2758"/>
      <c r="I10" s="2758"/>
      <c r="J10" s="2758"/>
      <c r="K10" s="2758"/>
      <c r="L10" s="2758"/>
      <c r="M10" s="2758"/>
      <c r="N10" s="2758"/>
      <c r="O10" s="2758"/>
      <c r="P10" s="2758"/>
      <c r="Q10" s="2758"/>
      <c r="R10" s="2758"/>
      <c r="S10" s="2758"/>
      <c r="T10" s="2758"/>
      <c r="U10" s="2758"/>
      <c r="V10" s="2758"/>
      <c r="W10" s="2758"/>
      <c r="X10" s="2758"/>
      <c r="Y10" s="2758"/>
      <c r="Z10" s="2758"/>
      <c r="AA10" s="2758"/>
      <c r="AB10" s="2758"/>
      <c r="AC10" s="2758"/>
      <c r="AD10" s="2758"/>
      <c r="AE10" s="2758"/>
      <c r="AF10" s="2758"/>
      <c r="AG10" s="2758"/>
      <c r="AH10" s="2758"/>
      <c r="AI10" s="2758"/>
      <c r="AJ10" s="2758"/>
      <c r="AK10" s="2758"/>
      <c r="AL10" s="2758"/>
      <c r="AM10" s="2758"/>
      <c r="AN10" s="2758"/>
      <c r="AO10" s="2758"/>
      <c r="AP10" s="2758"/>
      <c r="AQ10" s="2758"/>
      <c r="AR10" s="2758"/>
      <c r="AS10" s="2758"/>
      <c r="AT10" s="2758"/>
      <c r="AU10" s="2758"/>
      <c r="AV10" s="2758"/>
      <c r="AW10" s="2758"/>
      <c r="AX10" s="2758"/>
      <c r="AY10" s="2758"/>
      <c r="AZ10" s="2758"/>
      <c r="BA10" s="2758"/>
      <c r="BB10" s="2758"/>
      <c r="BC10" s="2758"/>
      <c r="BD10" s="2758"/>
      <c r="BE10" s="2758"/>
      <c r="BF10" s="2758"/>
      <c r="BG10" s="2758"/>
      <c r="BH10" s="2758"/>
      <c r="BI10" s="2758"/>
      <c r="BJ10" s="2758"/>
      <c r="BK10" s="2758"/>
      <c r="BL10" s="2758"/>
      <c r="BM10" s="2758"/>
      <c r="BN10" s="2758"/>
      <c r="BO10" s="2758"/>
      <c r="BP10" s="2758"/>
      <c r="BQ10" s="2758"/>
      <c r="BR10" s="2758"/>
      <c r="BS10" s="2758"/>
      <c r="BT10" s="2758"/>
      <c r="BU10" s="2758"/>
      <c r="BV10" s="2758"/>
      <c r="BW10" s="2758"/>
      <c r="BX10" s="2758"/>
      <c r="BY10" s="2758"/>
      <c r="BZ10" s="2758"/>
      <c r="CA10" s="2758"/>
      <c r="CB10" s="2758"/>
      <c r="CC10" s="2758"/>
      <c r="CD10" s="2758"/>
      <c r="CE10" s="2758"/>
      <c r="CF10" s="2758"/>
      <c r="CG10" s="2758"/>
      <c r="CH10" s="2758"/>
      <c r="CI10" s="2758"/>
      <c r="CJ10" s="2758"/>
      <c r="CK10" s="2758"/>
      <c r="CL10" s="2758"/>
      <c r="CM10" s="2758"/>
      <c r="CN10" s="2758"/>
      <c r="CO10" s="2758"/>
      <c r="CP10" s="2758"/>
      <c r="CQ10" s="2758"/>
      <c r="CR10" s="2758"/>
      <c r="CS10" s="2758"/>
      <c r="CT10" s="2758"/>
      <c r="CU10" s="2758"/>
      <c r="CV10" s="2758"/>
      <c r="CW10" s="2758"/>
      <c r="CX10" s="2758"/>
      <c r="CY10" s="2758"/>
      <c r="CZ10" s="2758"/>
      <c r="DA10" s="2758"/>
      <c r="DB10" s="2758"/>
      <c r="DC10" s="2758"/>
      <c r="DD10" s="2758"/>
      <c r="DE10" s="2758"/>
      <c r="DF10" s="2758"/>
      <c r="DG10" s="2758"/>
      <c r="DH10" s="2758"/>
      <c r="DI10" s="2758"/>
      <c r="DJ10" s="2758"/>
      <c r="DK10" s="2758"/>
      <c r="DL10" s="2758"/>
      <c r="DM10" s="2758"/>
      <c r="DN10" s="2758"/>
      <c r="DO10" s="2758"/>
      <c r="DP10" s="2758"/>
      <c r="DQ10" s="2758"/>
      <c r="DR10" s="2758"/>
      <c r="DS10" s="2758"/>
      <c r="DT10" s="2758"/>
      <c r="DU10" s="2758"/>
      <c r="DV10" s="2758"/>
      <c r="DW10" s="2758"/>
      <c r="DX10" s="2758"/>
      <c r="DY10" s="2758"/>
      <c r="DZ10" s="2758"/>
      <c r="EA10" s="2758"/>
      <c r="EB10" s="2758"/>
      <c r="EC10" s="2758"/>
      <c r="ED10" s="2758"/>
      <c r="EE10" s="2758"/>
      <c r="EF10" s="2758"/>
      <c r="EG10" s="2758"/>
      <c r="EH10" s="2758"/>
      <c r="EI10" s="2758"/>
      <c r="EJ10" s="2758"/>
      <c r="EK10" s="2758"/>
      <c r="EL10" s="2758"/>
      <c r="EM10" s="2758"/>
      <c r="EN10" s="2758"/>
      <c r="EO10" s="2758"/>
      <c r="EP10" s="2758"/>
      <c r="EQ10" s="2758"/>
      <c r="ER10" s="2758"/>
      <c r="ES10" s="2758"/>
      <c r="ET10" s="2758"/>
      <c r="EU10" s="2758"/>
      <c r="EV10" s="2758"/>
      <c r="EW10" s="2758"/>
      <c r="EX10" s="2758"/>
      <c r="EY10" s="2758"/>
      <c r="EZ10" s="2758"/>
      <c r="FA10" s="2758"/>
      <c r="FB10" s="2758"/>
      <c r="FC10" s="2758"/>
      <c r="FD10" s="2758"/>
      <c r="FE10" s="2758"/>
      <c r="FF10" s="2758"/>
      <c r="FG10" s="2758"/>
      <c r="FH10" s="2758"/>
      <c r="FI10" s="2758"/>
      <c r="FJ10" s="2758"/>
      <c r="FK10" s="2758"/>
      <c r="FL10" s="2758"/>
      <c r="FM10" s="2758"/>
      <c r="FN10" s="2758"/>
      <c r="FO10" s="2758"/>
      <c r="FP10" s="2758"/>
      <c r="FQ10" s="2758"/>
      <c r="FR10" s="2758"/>
      <c r="FS10" s="2758"/>
      <c r="FT10" s="2758"/>
      <c r="FU10" s="2758"/>
      <c r="FV10" s="2706"/>
      <c r="FW10" s="2745"/>
      <c r="FX10" s="977"/>
      <c r="GC10" s="858">
        <v>11</v>
      </c>
    </row>
    <row r="11" spans="2:185" ht="12.75" customHeight="1">
      <c r="E11" s="862"/>
      <c r="F11" s="2520" t="s">
        <v>88</v>
      </c>
      <c r="G11" s="2520" t="s">
        <v>1231</v>
      </c>
      <c r="H11" s="2520" t="s">
        <v>1232</v>
      </c>
      <c r="I11" s="2520" t="s">
        <v>1233</v>
      </c>
      <c r="J11" s="2757"/>
      <c r="K11" s="2757"/>
      <c r="L11" s="2757"/>
      <c r="M11" s="2757"/>
      <c r="N11" s="2757"/>
      <c r="O11" s="2524" t="s">
        <v>1234</v>
      </c>
      <c r="P11" s="2524"/>
      <c r="Q11" s="2524"/>
      <c r="R11" s="2524"/>
      <c r="S11" s="2524"/>
      <c r="T11" s="2524"/>
      <c r="U11" s="2524"/>
      <c r="V11" s="2524"/>
      <c r="W11" s="2524"/>
      <c r="X11" s="2524"/>
      <c r="Y11" s="2524"/>
      <c r="Z11" s="2524"/>
      <c r="AA11" s="2524"/>
      <c r="AB11" s="2524"/>
      <c r="AC11" s="2740"/>
      <c r="AD11" s="2740"/>
      <c r="AE11" s="2740"/>
      <c r="AF11" s="2740"/>
      <c r="AG11" s="2740"/>
      <c r="AH11" s="2740"/>
      <c r="AI11" s="2740"/>
      <c r="AJ11" s="2740"/>
      <c r="AK11" s="2740"/>
      <c r="AL11" s="2740"/>
      <c r="AM11" s="2740"/>
      <c r="AN11" s="2740"/>
      <c r="AO11" s="2740"/>
      <c r="AP11" s="2740"/>
      <c r="AQ11" s="2740"/>
      <c r="AR11" s="2740"/>
      <c r="AS11" s="2740"/>
      <c r="AT11" s="2740"/>
      <c r="AU11" s="2740"/>
      <c r="AV11" s="2740"/>
      <c r="AW11" s="2740"/>
      <c r="AX11" s="2740"/>
      <c r="AY11" s="2740"/>
      <c r="AZ11" s="2740"/>
      <c r="BA11" s="2740"/>
      <c r="BB11" s="2740"/>
      <c r="BC11" s="2740"/>
      <c r="BD11" s="2740"/>
      <c r="BE11" s="2740"/>
      <c r="BF11" s="2740"/>
      <c r="BG11" s="2740"/>
      <c r="BH11" s="2740"/>
      <c r="BI11" s="2740"/>
      <c r="BJ11" s="2740"/>
      <c r="BK11" s="2740"/>
      <c r="BL11" s="2740"/>
      <c r="BM11" s="2740"/>
      <c r="BN11" s="2740"/>
      <c r="BO11" s="2740"/>
      <c r="BP11" s="2740"/>
      <c r="BQ11" s="2740"/>
      <c r="BR11" s="2740"/>
      <c r="BS11" s="2741"/>
      <c r="BT11" s="2662" t="s">
        <v>1234</v>
      </c>
      <c r="BU11" s="2663"/>
      <c r="BV11" s="2663"/>
      <c r="BW11" s="2663"/>
      <c r="BX11" s="2663"/>
      <c r="BY11" s="2663"/>
      <c r="BZ11" s="2663"/>
      <c r="CA11" s="2663"/>
      <c r="CB11" s="2663"/>
      <c r="CC11" s="2663"/>
      <c r="CD11" s="2663"/>
      <c r="CE11" s="2663"/>
      <c r="CF11" s="2663"/>
      <c r="CG11" s="2663"/>
      <c r="CH11" s="2663"/>
      <c r="CI11" s="2663"/>
      <c r="CJ11" s="2663"/>
      <c r="CK11" s="2739"/>
      <c r="CL11" s="2747"/>
      <c r="CM11" s="2740"/>
      <c r="CN11" s="2740"/>
      <c r="CO11" s="2740"/>
      <c r="CP11" s="2740"/>
      <c r="CQ11" s="2740"/>
      <c r="CR11" s="2740"/>
      <c r="CS11" s="2740"/>
      <c r="CT11" s="2740"/>
      <c r="CU11" s="2740"/>
      <c r="CV11" s="2740"/>
      <c r="CW11" s="2740"/>
      <c r="CX11" s="2741"/>
      <c r="CY11" s="2662" t="s">
        <v>1234</v>
      </c>
      <c r="CZ11" s="2663"/>
      <c r="DA11" s="2663"/>
      <c r="DB11" s="2663"/>
      <c r="DC11" s="2663"/>
      <c r="DD11" s="2663"/>
      <c r="DE11" s="2663"/>
      <c r="DF11" s="2663"/>
      <c r="DG11" s="2663"/>
      <c r="DH11" s="2663"/>
      <c r="DI11" s="2663"/>
      <c r="DJ11" s="2739"/>
      <c r="DK11" s="2747"/>
      <c r="DL11" s="2740"/>
      <c r="DM11" s="2740"/>
      <c r="DN11" s="2740"/>
      <c r="DO11" s="2740"/>
      <c r="DP11" s="2740"/>
      <c r="DQ11" s="2740"/>
      <c r="DR11" s="2740"/>
      <c r="DS11" s="2740"/>
      <c r="DT11" s="2740"/>
      <c r="DU11" s="2740"/>
      <c r="DV11" s="2740"/>
      <c r="DW11" s="2740"/>
      <c r="DX11" s="2740"/>
      <c r="DY11" s="2740"/>
      <c r="DZ11" s="2740"/>
      <c r="EA11" s="2740"/>
      <c r="EB11" s="2740"/>
      <c r="EC11" s="2740"/>
      <c r="ED11" s="2740"/>
      <c r="EE11" s="2740"/>
      <c r="EF11" s="2740"/>
      <c r="EG11" s="2740"/>
      <c r="EH11" s="2740"/>
      <c r="EI11" s="2740"/>
      <c r="EJ11" s="2740"/>
      <c r="EK11" s="2740"/>
      <c r="EL11" s="2740"/>
      <c r="EM11" s="2740"/>
      <c r="EN11" s="2740"/>
      <c r="EO11" s="2740"/>
      <c r="EP11" s="2740"/>
      <c r="EQ11" s="2740"/>
      <c r="ER11" s="2740"/>
      <c r="ES11" s="2740"/>
      <c r="ET11" s="2740"/>
      <c r="EU11" s="2740"/>
      <c r="EV11" s="2740"/>
      <c r="EW11" s="2740"/>
      <c r="EX11" s="2740"/>
      <c r="EY11" s="2740"/>
      <c r="EZ11" s="2740"/>
      <c r="FA11" s="2740"/>
      <c r="FB11" s="2740"/>
      <c r="FC11" s="2740"/>
      <c r="FD11" s="2740"/>
      <c r="FE11" s="2740"/>
      <c r="FF11" s="2740"/>
      <c r="FG11" s="2740"/>
      <c r="FH11" s="2740"/>
      <c r="FI11" s="2740"/>
      <c r="FJ11" s="2740"/>
      <c r="FK11" s="2740"/>
      <c r="FL11" s="2740"/>
      <c r="FM11" s="2740"/>
      <c r="FN11" s="2740"/>
      <c r="FO11" s="2740"/>
      <c r="FP11" s="2740"/>
      <c r="FQ11" s="2740"/>
      <c r="FR11" s="2740"/>
      <c r="FS11" s="2740"/>
      <c r="FT11" s="2740"/>
      <c r="FU11" s="2740"/>
      <c r="FV11" s="2740"/>
      <c r="FW11" s="2745"/>
      <c r="FX11" s="696"/>
      <c r="GC11" s="851">
        <v>12</v>
      </c>
    </row>
    <row r="12" spans="2:185" ht="12.75" customHeight="1">
      <c r="D12" s="863"/>
      <c r="E12" s="862"/>
      <c r="F12" s="2520"/>
      <c r="G12" s="2520"/>
      <c r="H12" s="2520"/>
      <c r="I12" s="2520"/>
      <c r="J12" s="2757"/>
      <c r="K12" s="2757"/>
      <c r="L12" s="2757"/>
      <c r="M12" s="2757"/>
      <c r="N12" s="2757"/>
      <c r="O12" s="2524" t="s">
        <v>1235</v>
      </c>
      <c r="P12" s="2524"/>
      <c r="Q12" s="2524"/>
      <c r="R12" s="2524"/>
      <c r="S12" s="2524" t="s">
        <v>1236</v>
      </c>
      <c r="T12" s="2524"/>
      <c r="U12" s="2524"/>
      <c r="V12" s="2524"/>
      <c r="W12" s="2524"/>
      <c r="X12" s="2524"/>
      <c r="Y12" s="2524"/>
      <c r="Z12" s="2524"/>
      <c r="AA12" s="2524"/>
      <c r="AB12" s="2524"/>
      <c r="AC12" s="2740"/>
      <c r="AD12" s="2740"/>
      <c r="AE12" s="2740"/>
      <c r="AF12" s="2740"/>
      <c r="AG12" s="2740"/>
      <c r="AH12" s="2740"/>
      <c r="AI12" s="2740"/>
      <c r="AJ12" s="2740"/>
      <c r="AK12" s="2740"/>
      <c r="AL12" s="2740"/>
      <c r="AM12" s="2740"/>
      <c r="AN12" s="2740"/>
      <c r="AO12" s="2740"/>
      <c r="AP12" s="2740"/>
      <c r="AQ12" s="2740"/>
      <c r="AR12" s="2740"/>
      <c r="AS12" s="2740"/>
      <c r="AT12" s="2740"/>
      <c r="AU12" s="2740"/>
      <c r="AV12" s="2740"/>
      <c r="AW12" s="2740"/>
      <c r="AX12" s="2740"/>
      <c r="AY12" s="2740"/>
      <c r="AZ12" s="2740"/>
      <c r="BA12" s="2740"/>
      <c r="BB12" s="2740"/>
      <c r="BC12" s="2740"/>
      <c r="BD12" s="2740"/>
      <c r="BE12" s="2740"/>
      <c r="BF12" s="2740"/>
      <c r="BG12" s="2740"/>
      <c r="BH12" s="2740"/>
      <c r="BI12" s="2740"/>
      <c r="BJ12" s="2740"/>
      <c r="BK12" s="2740"/>
      <c r="BL12" s="2740"/>
      <c r="BM12" s="2740"/>
      <c r="BN12" s="2740"/>
      <c r="BO12" s="2740"/>
      <c r="BP12" s="2740"/>
      <c r="BQ12" s="2740"/>
      <c r="BR12" s="2740"/>
      <c r="BS12" s="2741"/>
      <c r="BT12" s="2662" t="s">
        <v>1237</v>
      </c>
      <c r="BU12" s="2663"/>
      <c r="BV12" s="2663"/>
      <c r="BW12" s="2739"/>
      <c r="BX12" s="2662" t="s">
        <v>1238</v>
      </c>
      <c r="BY12" s="2663"/>
      <c r="BZ12" s="2663"/>
      <c r="CA12" s="2739"/>
      <c r="CB12" s="2662" t="s">
        <v>1239</v>
      </c>
      <c r="CC12" s="2739"/>
      <c r="CD12" s="2662" t="s">
        <v>1240</v>
      </c>
      <c r="CE12" s="2663"/>
      <c r="CF12" s="2663"/>
      <c r="CG12" s="2663"/>
      <c r="CH12" s="2663"/>
      <c r="CI12" s="2663"/>
      <c r="CJ12" s="2663"/>
      <c r="CK12" s="2739"/>
      <c r="CL12" s="2747"/>
      <c r="CM12" s="2740"/>
      <c r="CN12" s="2740"/>
      <c r="CO12" s="2740"/>
      <c r="CP12" s="2740"/>
      <c r="CQ12" s="2740"/>
      <c r="CR12" s="2740"/>
      <c r="CS12" s="2740"/>
      <c r="CT12" s="2740"/>
      <c r="CU12" s="2740"/>
      <c r="CV12" s="2740"/>
      <c r="CW12" s="2740"/>
      <c r="CX12" s="2741"/>
      <c r="CY12" s="2662" t="s">
        <v>1241</v>
      </c>
      <c r="CZ12" s="2663"/>
      <c r="DA12" s="2663"/>
      <c r="DB12" s="2663"/>
      <c r="DC12" s="2663"/>
      <c r="DD12" s="2739"/>
      <c r="DE12" s="2662" t="s">
        <v>1242</v>
      </c>
      <c r="DF12" s="2739"/>
      <c r="DG12" s="2662" t="s">
        <v>1240</v>
      </c>
      <c r="DH12" s="2663"/>
      <c r="DI12" s="2663"/>
      <c r="DJ12" s="2739"/>
      <c r="DK12" s="2747"/>
      <c r="DL12" s="2740"/>
      <c r="DM12" s="2740"/>
      <c r="DN12" s="2740"/>
      <c r="DO12" s="2740"/>
      <c r="DP12" s="2740"/>
      <c r="DQ12" s="2740"/>
      <c r="DR12" s="2740"/>
      <c r="DS12" s="2740"/>
      <c r="DT12" s="2740"/>
      <c r="DU12" s="2740"/>
      <c r="DV12" s="2740"/>
      <c r="DW12" s="2740"/>
      <c r="DX12" s="2740"/>
      <c r="DY12" s="2740"/>
      <c r="DZ12" s="2740"/>
      <c r="EA12" s="2740"/>
      <c r="EB12" s="2740"/>
      <c r="EC12" s="2740"/>
      <c r="ED12" s="2740"/>
      <c r="EE12" s="2740"/>
      <c r="EF12" s="2740"/>
      <c r="EG12" s="2740"/>
      <c r="EH12" s="2740"/>
      <c r="EI12" s="2740"/>
      <c r="EJ12" s="2740"/>
      <c r="EK12" s="2740"/>
      <c r="EL12" s="2740"/>
      <c r="EM12" s="2740"/>
      <c r="EN12" s="2740"/>
      <c r="EO12" s="2740"/>
      <c r="EP12" s="2740"/>
      <c r="EQ12" s="2740"/>
      <c r="ER12" s="2740"/>
      <c r="ES12" s="2740"/>
      <c r="ET12" s="2740"/>
      <c r="EU12" s="2740"/>
      <c r="EV12" s="2740"/>
      <c r="EW12" s="2740"/>
      <c r="EX12" s="2740"/>
      <c r="EY12" s="2740"/>
      <c r="EZ12" s="2740"/>
      <c r="FA12" s="2740"/>
      <c r="FB12" s="2740"/>
      <c r="FC12" s="2740"/>
      <c r="FD12" s="2740"/>
      <c r="FE12" s="2740"/>
      <c r="FF12" s="2740"/>
      <c r="FG12" s="2740"/>
      <c r="FH12" s="2740"/>
      <c r="FI12" s="2740"/>
      <c r="FJ12" s="2740"/>
      <c r="FK12" s="2740"/>
      <c r="FL12" s="2740"/>
      <c r="FM12" s="2740"/>
      <c r="FN12" s="2740"/>
      <c r="FO12" s="2740"/>
      <c r="FP12" s="2740"/>
      <c r="FQ12" s="2740"/>
      <c r="FR12" s="2740"/>
      <c r="FS12" s="2740"/>
      <c r="FT12" s="2740"/>
      <c r="FU12" s="2740"/>
      <c r="FV12" s="2740"/>
      <c r="FW12" s="2745"/>
      <c r="FX12" s="696"/>
      <c r="GC12" s="851">
        <v>12</v>
      </c>
    </row>
    <row r="13" spans="2:185" ht="37.9" customHeight="1">
      <c r="D13" s="863"/>
      <c r="E13" s="862"/>
      <c r="F13" s="2520"/>
      <c r="G13" s="2520"/>
      <c r="H13" s="2520"/>
      <c r="I13" s="2520"/>
      <c r="J13" s="2757"/>
      <c r="K13" s="2757"/>
      <c r="L13" s="2757"/>
      <c r="M13" s="2757"/>
      <c r="N13" s="2757"/>
      <c r="O13" s="2524" t="s">
        <v>1243</v>
      </c>
      <c r="P13" s="2524"/>
      <c r="Q13" s="2524"/>
      <c r="R13" s="2524"/>
      <c r="S13" s="2625" t="s">
        <v>1244</v>
      </c>
      <c r="T13" s="2664"/>
      <c r="U13" s="2435" t="s">
        <v>1245</v>
      </c>
      <c r="V13" s="2435"/>
      <c r="W13" s="2435"/>
      <c r="X13" s="2435"/>
      <c r="Y13" s="2435" t="s">
        <v>1246</v>
      </c>
      <c r="Z13" s="2435"/>
      <c r="AA13" s="2435"/>
      <c r="AB13" s="2435"/>
      <c r="AC13" s="2740"/>
      <c r="AD13" s="2740"/>
      <c r="AE13" s="2740"/>
      <c r="AF13" s="2740"/>
      <c r="AG13" s="2740"/>
      <c r="AH13" s="2740"/>
      <c r="AI13" s="2740"/>
      <c r="AJ13" s="2740"/>
      <c r="AK13" s="2740"/>
      <c r="AL13" s="2740"/>
      <c r="AM13" s="2740"/>
      <c r="AN13" s="2740"/>
      <c r="AO13" s="2740"/>
      <c r="AP13" s="2740"/>
      <c r="AQ13" s="2740"/>
      <c r="AR13" s="2740"/>
      <c r="AS13" s="2740"/>
      <c r="AT13" s="2740"/>
      <c r="AU13" s="2740"/>
      <c r="AV13" s="2740"/>
      <c r="AW13" s="2740"/>
      <c r="AX13" s="2740"/>
      <c r="AY13" s="2740"/>
      <c r="AZ13" s="2740"/>
      <c r="BA13" s="2740"/>
      <c r="BB13" s="2740"/>
      <c r="BC13" s="2740"/>
      <c r="BD13" s="2740"/>
      <c r="BE13" s="2740"/>
      <c r="BF13" s="2740"/>
      <c r="BG13" s="2740"/>
      <c r="BH13" s="2740"/>
      <c r="BI13" s="2740"/>
      <c r="BJ13" s="2740"/>
      <c r="BK13" s="2740"/>
      <c r="BL13" s="2740"/>
      <c r="BM13" s="2740"/>
      <c r="BN13" s="2740"/>
      <c r="BO13" s="2740"/>
      <c r="BP13" s="2740"/>
      <c r="BQ13" s="2740"/>
      <c r="BR13" s="2740"/>
      <c r="BS13" s="2741"/>
      <c r="BT13" s="2625" t="s">
        <v>1247</v>
      </c>
      <c r="BU13" s="2664"/>
      <c r="BV13" s="2625" t="s">
        <v>1248</v>
      </c>
      <c r="BW13" s="2664"/>
      <c r="BX13" s="2625" t="s">
        <v>1249</v>
      </c>
      <c r="BY13" s="2664"/>
      <c r="BZ13" s="2625" t="s">
        <v>1250</v>
      </c>
      <c r="CA13" s="2664"/>
      <c r="CB13" s="2625" t="s">
        <v>1251</v>
      </c>
      <c r="CC13" s="2664"/>
      <c r="CD13" s="2625" t="s">
        <v>1252</v>
      </c>
      <c r="CE13" s="2664"/>
      <c r="CF13" s="2625" t="s">
        <v>1253</v>
      </c>
      <c r="CG13" s="2664"/>
      <c r="CH13" s="2662" t="s">
        <v>1254</v>
      </c>
      <c r="CI13" s="2663"/>
      <c r="CJ13" s="2663"/>
      <c r="CK13" s="2739"/>
      <c r="CL13" s="2747"/>
      <c r="CM13" s="2740"/>
      <c r="CN13" s="2740"/>
      <c r="CO13" s="2740"/>
      <c r="CP13" s="2740"/>
      <c r="CQ13" s="2740"/>
      <c r="CR13" s="2740"/>
      <c r="CS13" s="2740"/>
      <c r="CT13" s="2740"/>
      <c r="CU13" s="2740"/>
      <c r="CV13" s="2740"/>
      <c r="CW13" s="2740"/>
      <c r="CX13" s="2741"/>
      <c r="CY13" s="2625" t="s">
        <v>1255</v>
      </c>
      <c r="CZ13" s="2664"/>
      <c r="DA13" s="2625" t="s">
        <v>1256</v>
      </c>
      <c r="DB13" s="2664"/>
      <c r="DC13" s="2625" t="s">
        <v>1257</v>
      </c>
      <c r="DD13" s="2664"/>
      <c r="DE13" s="2625" t="s">
        <v>1258</v>
      </c>
      <c r="DF13" s="2664"/>
      <c r="DG13" s="2662" t="s">
        <v>1259</v>
      </c>
      <c r="DH13" s="2663"/>
      <c r="DI13" s="2663"/>
      <c r="DJ13" s="2739"/>
      <c r="DK13" s="2747"/>
      <c r="DL13" s="2740"/>
      <c r="DM13" s="2740"/>
      <c r="DN13" s="2740"/>
      <c r="DO13" s="2740"/>
      <c r="DP13" s="2740"/>
      <c r="DQ13" s="2740"/>
      <c r="DR13" s="2740"/>
      <c r="DS13" s="2740"/>
      <c r="DT13" s="2740"/>
      <c r="DU13" s="2740"/>
      <c r="DV13" s="2740"/>
      <c r="DW13" s="2740"/>
      <c r="DX13" s="2740"/>
      <c r="DY13" s="2740"/>
      <c r="DZ13" s="2740"/>
      <c r="EA13" s="2740"/>
      <c r="EB13" s="2740"/>
      <c r="EC13" s="2740"/>
      <c r="ED13" s="2740"/>
      <c r="EE13" s="2740"/>
      <c r="EF13" s="2740"/>
      <c r="EG13" s="2740"/>
      <c r="EH13" s="2740"/>
      <c r="EI13" s="2740"/>
      <c r="EJ13" s="2740"/>
      <c r="EK13" s="2740"/>
      <c r="EL13" s="2740"/>
      <c r="EM13" s="2740"/>
      <c r="EN13" s="2740"/>
      <c r="EO13" s="2740"/>
      <c r="EP13" s="2740"/>
      <c r="EQ13" s="2740"/>
      <c r="ER13" s="2740"/>
      <c r="ES13" s="2740"/>
      <c r="ET13" s="2740"/>
      <c r="EU13" s="2740"/>
      <c r="EV13" s="2740"/>
      <c r="EW13" s="2740"/>
      <c r="EX13" s="2740"/>
      <c r="EY13" s="2740"/>
      <c r="EZ13" s="2740"/>
      <c r="FA13" s="2740"/>
      <c r="FB13" s="2740"/>
      <c r="FC13" s="2740"/>
      <c r="FD13" s="2740"/>
      <c r="FE13" s="2740"/>
      <c r="FF13" s="2740"/>
      <c r="FG13" s="2740"/>
      <c r="FH13" s="2740"/>
      <c r="FI13" s="2740"/>
      <c r="FJ13" s="2740"/>
      <c r="FK13" s="2740"/>
      <c r="FL13" s="2740"/>
      <c r="FM13" s="2740"/>
      <c r="FN13" s="2740"/>
      <c r="FO13" s="2740"/>
      <c r="FP13" s="2740"/>
      <c r="FQ13" s="2740"/>
      <c r="FR13" s="2740"/>
      <c r="FS13" s="2740"/>
      <c r="FT13" s="2740"/>
      <c r="FU13" s="2740"/>
      <c r="FV13" s="2740"/>
      <c r="FW13" s="2745"/>
      <c r="FX13" s="696"/>
      <c r="GC13" s="851">
        <v>36</v>
      </c>
    </row>
    <row r="14" spans="2:185" ht="37.9" customHeight="1">
      <c r="D14" s="863"/>
      <c r="E14" s="862"/>
      <c r="F14" s="2520"/>
      <c r="G14" s="2520"/>
      <c r="H14" s="2520"/>
      <c r="I14" s="2520"/>
      <c r="J14" s="2757"/>
      <c r="K14" s="2757"/>
      <c r="L14" s="2757"/>
      <c r="M14" s="2757"/>
      <c r="N14" s="2757"/>
      <c r="O14" s="2625" t="s">
        <v>1260</v>
      </c>
      <c r="P14" s="2664"/>
      <c r="Q14" s="2625" t="s">
        <v>1261</v>
      </c>
      <c r="R14" s="2664"/>
      <c r="S14" s="2626"/>
      <c r="T14" s="2528"/>
      <c r="U14" s="2625" t="s">
        <v>943</v>
      </c>
      <c r="V14" s="2664"/>
      <c r="W14" s="2625" t="s">
        <v>946</v>
      </c>
      <c r="X14" s="2664"/>
      <c r="Y14" s="2625" t="s">
        <v>943</v>
      </c>
      <c r="Z14" s="2664"/>
      <c r="AA14" s="2625" t="s">
        <v>953</v>
      </c>
      <c r="AB14" s="2664"/>
      <c r="AC14" s="2740"/>
      <c r="AD14" s="2740"/>
      <c r="AE14" s="2740"/>
      <c r="AF14" s="2740"/>
      <c r="AG14" s="2740"/>
      <c r="AH14" s="2740"/>
      <c r="AI14" s="2740"/>
      <c r="AJ14" s="2740"/>
      <c r="AK14" s="2740"/>
      <c r="AL14" s="2740"/>
      <c r="AM14" s="2740"/>
      <c r="AN14" s="2740"/>
      <c r="AO14" s="2740"/>
      <c r="AP14" s="2740"/>
      <c r="AQ14" s="2740"/>
      <c r="AR14" s="2740"/>
      <c r="AS14" s="2740"/>
      <c r="AT14" s="2740"/>
      <c r="AU14" s="2740"/>
      <c r="AV14" s="2740"/>
      <c r="AW14" s="2740"/>
      <c r="AX14" s="2740"/>
      <c r="AY14" s="2740"/>
      <c r="AZ14" s="2740"/>
      <c r="BA14" s="2740"/>
      <c r="BB14" s="2740"/>
      <c r="BC14" s="2740"/>
      <c r="BD14" s="2740"/>
      <c r="BE14" s="2740"/>
      <c r="BF14" s="2740"/>
      <c r="BG14" s="2740"/>
      <c r="BH14" s="2740"/>
      <c r="BI14" s="2740"/>
      <c r="BJ14" s="2740"/>
      <c r="BK14" s="2740"/>
      <c r="BL14" s="2740"/>
      <c r="BM14" s="2740"/>
      <c r="BN14" s="2740"/>
      <c r="BO14" s="2740"/>
      <c r="BP14" s="2740"/>
      <c r="BQ14" s="2740"/>
      <c r="BR14" s="2740"/>
      <c r="BS14" s="2741"/>
      <c r="BT14" s="2626"/>
      <c r="BU14" s="2528"/>
      <c r="BV14" s="2626"/>
      <c r="BW14" s="2528"/>
      <c r="BX14" s="2626"/>
      <c r="BY14" s="2528"/>
      <c r="BZ14" s="2626"/>
      <c r="CA14" s="2528"/>
      <c r="CB14" s="2626"/>
      <c r="CC14" s="2528"/>
      <c r="CD14" s="2626"/>
      <c r="CE14" s="2528"/>
      <c r="CF14" s="2626"/>
      <c r="CG14" s="2528"/>
      <c r="CH14" s="2625" t="s">
        <v>1262</v>
      </c>
      <c r="CI14" s="2664"/>
      <c r="CJ14" s="2625" t="s">
        <v>1263</v>
      </c>
      <c r="CK14" s="2664"/>
      <c r="CL14" s="2747"/>
      <c r="CM14" s="2740"/>
      <c r="CN14" s="2740"/>
      <c r="CO14" s="2740"/>
      <c r="CP14" s="2740"/>
      <c r="CQ14" s="2740"/>
      <c r="CR14" s="2740"/>
      <c r="CS14" s="2740"/>
      <c r="CT14" s="2740"/>
      <c r="CU14" s="2740"/>
      <c r="CV14" s="2740"/>
      <c r="CW14" s="2740"/>
      <c r="CX14" s="2741"/>
      <c r="CY14" s="2626"/>
      <c r="CZ14" s="2528"/>
      <c r="DA14" s="2626"/>
      <c r="DB14" s="2528"/>
      <c r="DC14" s="2626"/>
      <c r="DD14" s="2528"/>
      <c r="DE14" s="2626"/>
      <c r="DF14" s="2528"/>
      <c r="DG14" s="2625" t="s">
        <v>1264</v>
      </c>
      <c r="DH14" s="2664"/>
      <c r="DI14" s="2625" t="s">
        <v>1265</v>
      </c>
      <c r="DJ14" s="2664"/>
      <c r="DK14" s="2747"/>
      <c r="DL14" s="2740"/>
      <c r="DM14" s="2740"/>
      <c r="DN14" s="2740"/>
      <c r="DO14" s="2740"/>
      <c r="DP14" s="2740"/>
      <c r="DQ14" s="2740"/>
      <c r="DR14" s="2740"/>
      <c r="DS14" s="2740"/>
      <c r="DT14" s="2740"/>
      <c r="DU14" s="2740"/>
      <c r="DV14" s="2740"/>
      <c r="DW14" s="2740"/>
      <c r="DX14" s="2740"/>
      <c r="DY14" s="2740"/>
      <c r="DZ14" s="2740"/>
      <c r="EA14" s="2740"/>
      <c r="EB14" s="2740"/>
      <c r="EC14" s="2740"/>
      <c r="ED14" s="2740"/>
      <c r="EE14" s="2740"/>
      <c r="EF14" s="2740"/>
      <c r="EG14" s="2740"/>
      <c r="EH14" s="2740"/>
      <c r="EI14" s="2740"/>
      <c r="EJ14" s="2740"/>
      <c r="EK14" s="2740"/>
      <c r="EL14" s="2740"/>
      <c r="EM14" s="2740"/>
      <c r="EN14" s="2740"/>
      <c r="EO14" s="2740"/>
      <c r="EP14" s="2740"/>
      <c r="EQ14" s="2740"/>
      <c r="ER14" s="2740"/>
      <c r="ES14" s="2740"/>
      <c r="ET14" s="2740"/>
      <c r="EU14" s="2740"/>
      <c r="EV14" s="2740"/>
      <c r="EW14" s="2740"/>
      <c r="EX14" s="2740"/>
      <c r="EY14" s="2740"/>
      <c r="EZ14" s="2740"/>
      <c r="FA14" s="2740"/>
      <c r="FB14" s="2740"/>
      <c r="FC14" s="2740"/>
      <c r="FD14" s="2740"/>
      <c r="FE14" s="2740"/>
      <c r="FF14" s="2740"/>
      <c r="FG14" s="2740"/>
      <c r="FH14" s="2740"/>
      <c r="FI14" s="2740"/>
      <c r="FJ14" s="2740"/>
      <c r="FK14" s="2740"/>
      <c r="FL14" s="2740"/>
      <c r="FM14" s="2740"/>
      <c r="FN14" s="2740"/>
      <c r="FO14" s="2740"/>
      <c r="FP14" s="2740"/>
      <c r="FQ14" s="2740"/>
      <c r="FR14" s="2740"/>
      <c r="FS14" s="2740"/>
      <c r="FT14" s="2740"/>
      <c r="FU14" s="2740"/>
      <c r="FV14" s="2740"/>
      <c r="FW14" s="2745"/>
      <c r="FX14" s="696"/>
      <c r="GC14" s="851">
        <v>36</v>
      </c>
    </row>
    <row r="15" spans="2:185" ht="37.9" customHeight="1">
      <c r="D15" s="863"/>
      <c r="E15" s="862"/>
      <c r="F15" s="2520"/>
      <c r="G15" s="2520"/>
      <c r="H15" s="2520"/>
      <c r="I15" s="2520"/>
      <c r="J15" s="2757"/>
      <c r="K15" s="2757"/>
      <c r="L15" s="2757"/>
      <c r="M15" s="2757"/>
      <c r="N15" s="2757"/>
      <c r="O15" s="2627"/>
      <c r="P15" s="2698"/>
      <c r="Q15" s="2627"/>
      <c r="R15" s="2698"/>
      <c r="S15" s="2627"/>
      <c r="T15" s="2698"/>
      <c r="U15" s="2627"/>
      <c r="V15" s="2698"/>
      <c r="W15" s="2627"/>
      <c r="X15" s="2698"/>
      <c r="Y15" s="2627"/>
      <c r="Z15" s="2698"/>
      <c r="AA15" s="2627"/>
      <c r="AB15" s="2698"/>
      <c r="AC15" s="2740"/>
      <c r="AD15" s="2740"/>
      <c r="AE15" s="2740"/>
      <c r="AF15" s="2740"/>
      <c r="AG15" s="2740"/>
      <c r="AH15" s="2740"/>
      <c r="AI15" s="2740"/>
      <c r="AJ15" s="2740"/>
      <c r="AK15" s="2740"/>
      <c r="AL15" s="2740"/>
      <c r="AM15" s="2740"/>
      <c r="AN15" s="2740"/>
      <c r="AO15" s="2740"/>
      <c r="AP15" s="2740"/>
      <c r="AQ15" s="2740"/>
      <c r="AR15" s="2740"/>
      <c r="AS15" s="2740"/>
      <c r="AT15" s="2740"/>
      <c r="AU15" s="2740"/>
      <c r="AV15" s="2740"/>
      <c r="AW15" s="2740"/>
      <c r="AX15" s="2740"/>
      <c r="AY15" s="2740"/>
      <c r="AZ15" s="2740"/>
      <c r="BA15" s="2740"/>
      <c r="BB15" s="2740"/>
      <c r="BC15" s="2740"/>
      <c r="BD15" s="2740"/>
      <c r="BE15" s="2740"/>
      <c r="BF15" s="2740"/>
      <c r="BG15" s="2740"/>
      <c r="BH15" s="2740"/>
      <c r="BI15" s="2740"/>
      <c r="BJ15" s="2740"/>
      <c r="BK15" s="2740"/>
      <c r="BL15" s="2740"/>
      <c r="BM15" s="2740"/>
      <c r="BN15" s="2740"/>
      <c r="BO15" s="2740"/>
      <c r="BP15" s="2740"/>
      <c r="BQ15" s="2740"/>
      <c r="BR15" s="2740"/>
      <c r="BS15" s="2741"/>
      <c r="BT15" s="2627"/>
      <c r="BU15" s="2698"/>
      <c r="BV15" s="2627"/>
      <c r="BW15" s="2698"/>
      <c r="BX15" s="2627"/>
      <c r="BY15" s="2698"/>
      <c r="BZ15" s="2627"/>
      <c r="CA15" s="2698"/>
      <c r="CB15" s="2627"/>
      <c r="CC15" s="2698"/>
      <c r="CD15" s="2627"/>
      <c r="CE15" s="2698"/>
      <c r="CF15" s="2627"/>
      <c r="CG15" s="2698"/>
      <c r="CH15" s="2627"/>
      <c r="CI15" s="2698"/>
      <c r="CJ15" s="2627"/>
      <c r="CK15" s="2698"/>
      <c r="CL15" s="2747"/>
      <c r="CM15" s="2740"/>
      <c r="CN15" s="2740"/>
      <c r="CO15" s="2740"/>
      <c r="CP15" s="2740"/>
      <c r="CQ15" s="2740"/>
      <c r="CR15" s="2740"/>
      <c r="CS15" s="2740"/>
      <c r="CT15" s="2740"/>
      <c r="CU15" s="2740"/>
      <c r="CV15" s="2740"/>
      <c r="CW15" s="2740"/>
      <c r="CX15" s="2741"/>
      <c r="CY15" s="2627"/>
      <c r="CZ15" s="2698"/>
      <c r="DA15" s="2627"/>
      <c r="DB15" s="2698"/>
      <c r="DC15" s="2627"/>
      <c r="DD15" s="2698"/>
      <c r="DE15" s="2627"/>
      <c r="DF15" s="2698"/>
      <c r="DG15" s="2627"/>
      <c r="DH15" s="2698"/>
      <c r="DI15" s="2627"/>
      <c r="DJ15" s="2698"/>
      <c r="DK15" s="2747"/>
      <c r="DL15" s="2740"/>
      <c r="DM15" s="2740"/>
      <c r="DN15" s="2740"/>
      <c r="DO15" s="2740"/>
      <c r="DP15" s="2740"/>
      <c r="DQ15" s="2740"/>
      <c r="DR15" s="2740"/>
      <c r="DS15" s="2740"/>
      <c r="DT15" s="2740"/>
      <c r="DU15" s="2740"/>
      <c r="DV15" s="2740"/>
      <c r="DW15" s="2740"/>
      <c r="DX15" s="2740"/>
      <c r="DY15" s="2740"/>
      <c r="DZ15" s="2740"/>
      <c r="EA15" s="2740"/>
      <c r="EB15" s="2740"/>
      <c r="EC15" s="2740"/>
      <c r="ED15" s="2740"/>
      <c r="EE15" s="2740"/>
      <c r="EF15" s="2740"/>
      <c r="EG15" s="2740"/>
      <c r="EH15" s="2740"/>
      <c r="EI15" s="2740"/>
      <c r="EJ15" s="2740"/>
      <c r="EK15" s="2740"/>
      <c r="EL15" s="2740"/>
      <c r="EM15" s="2740"/>
      <c r="EN15" s="2740"/>
      <c r="EO15" s="2740"/>
      <c r="EP15" s="2740"/>
      <c r="EQ15" s="2740"/>
      <c r="ER15" s="2740"/>
      <c r="ES15" s="2740"/>
      <c r="ET15" s="2740"/>
      <c r="EU15" s="2740"/>
      <c r="EV15" s="2740"/>
      <c r="EW15" s="2740"/>
      <c r="EX15" s="2740"/>
      <c r="EY15" s="2740"/>
      <c r="EZ15" s="2740"/>
      <c r="FA15" s="2740"/>
      <c r="FB15" s="2740"/>
      <c r="FC15" s="2740"/>
      <c r="FD15" s="2740"/>
      <c r="FE15" s="2740"/>
      <c r="FF15" s="2740"/>
      <c r="FG15" s="2740"/>
      <c r="FH15" s="2740"/>
      <c r="FI15" s="2740"/>
      <c r="FJ15" s="2740"/>
      <c r="FK15" s="2740"/>
      <c r="FL15" s="2740"/>
      <c r="FM15" s="2740"/>
      <c r="FN15" s="2740"/>
      <c r="FO15" s="2740"/>
      <c r="FP15" s="2740"/>
      <c r="FQ15" s="2740"/>
      <c r="FR15" s="2740"/>
      <c r="FS15" s="2740"/>
      <c r="FT15" s="2740"/>
      <c r="FU15" s="2740"/>
      <c r="FV15" s="2740"/>
      <c r="FW15" s="2745"/>
      <c r="FX15" s="696"/>
      <c r="GC15" s="851">
        <v>36</v>
      </c>
    </row>
    <row r="16" spans="2:185" ht="12.75" customHeight="1">
      <c r="D16" s="863"/>
      <c r="E16" s="862"/>
      <c r="F16" s="2520"/>
      <c r="G16" s="2520"/>
      <c r="H16" s="2520"/>
      <c r="I16" s="2520"/>
      <c r="J16" s="2757"/>
      <c r="K16" s="2757"/>
      <c r="L16" s="2757"/>
      <c r="M16" s="2757"/>
      <c r="N16" s="2757"/>
      <c r="O16" s="2662" t="s">
        <v>933</v>
      </c>
      <c r="P16" s="2739"/>
      <c r="Q16" s="2662" t="s">
        <v>935</v>
      </c>
      <c r="R16" s="2739"/>
      <c r="S16" s="2662" t="s">
        <v>939</v>
      </c>
      <c r="T16" s="2739"/>
      <c r="U16" s="2662" t="s">
        <v>944</v>
      </c>
      <c r="V16" s="2739"/>
      <c r="W16" s="2662" t="s">
        <v>947</v>
      </c>
      <c r="X16" s="2739"/>
      <c r="Y16" s="2662" t="s">
        <v>951</v>
      </c>
      <c r="Z16" s="2739"/>
      <c r="AA16" s="2662" t="s">
        <v>954</v>
      </c>
      <c r="AB16" s="2739"/>
      <c r="AC16" s="2740"/>
      <c r="AD16" s="2740"/>
      <c r="AE16" s="2740"/>
      <c r="AF16" s="2740"/>
      <c r="AG16" s="2740"/>
      <c r="AH16" s="2740"/>
      <c r="AI16" s="2740"/>
      <c r="AJ16" s="2740"/>
      <c r="AK16" s="2740"/>
      <c r="AL16" s="2740"/>
      <c r="AM16" s="2740"/>
      <c r="AN16" s="2740"/>
      <c r="AO16" s="2740"/>
      <c r="AP16" s="2740"/>
      <c r="AQ16" s="2740"/>
      <c r="AR16" s="2740"/>
      <c r="AS16" s="2740"/>
      <c r="AT16" s="2740"/>
      <c r="AU16" s="2740"/>
      <c r="AV16" s="2740"/>
      <c r="AW16" s="2740"/>
      <c r="AX16" s="2740"/>
      <c r="AY16" s="2740"/>
      <c r="AZ16" s="2740"/>
      <c r="BA16" s="2740"/>
      <c r="BB16" s="2740"/>
      <c r="BC16" s="2740"/>
      <c r="BD16" s="2740"/>
      <c r="BE16" s="2740"/>
      <c r="BF16" s="2740"/>
      <c r="BG16" s="2740"/>
      <c r="BH16" s="2740"/>
      <c r="BI16" s="2740"/>
      <c r="BJ16" s="2740"/>
      <c r="BK16" s="2740"/>
      <c r="BL16" s="2740"/>
      <c r="BM16" s="2740"/>
      <c r="BN16" s="2740"/>
      <c r="BO16" s="2740"/>
      <c r="BP16" s="2740"/>
      <c r="BQ16" s="2740"/>
      <c r="BR16" s="2740"/>
      <c r="BS16" s="2741"/>
      <c r="BT16" s="2662" t="s">
        <v>557</v>
      </c>
      <c r="BU16" s="2739"/>
      <c r="BV16" s="2662" t="s">
        <v>557</v>
      </c>
      <c r="BW16" s="2739"/>
      <c r="BX16" s="2662" t="s">
        <v>557</v>
      </c>
      <c r="BY16" s="2739"/>
      <c r="BZ16" s="2662" t="s">
        <v>557</v>
      </c>
      <c r="CA16" s="2739"/>
      <c r="CB16" s="2662" t="s">
        <v>1266</v>
      </c>
      <c r="CC16" s="2739"/>
      <c r="CD16" s="2662" t="s">
        <v>557</v>
      </c>
      <c r="CE16" s="2739"/>
      <c r="CF16" s="2662" t="s">
        <v>1267</v>
      </c>
      <c r="CG16" s="2739"/>
      <c r="CH16" s="2662" t="s">
        <v>1268</v>
      </c>
      <c r="CI16" s="2739"/>
      <c r="CJ16" s="2662" t="s">
        <v>1268</v>
      </c>
      <c r="CK16" s="2739"/>
      <c r="CL16" s="2747"/>
      <c r="CM16" s="2740"/>
      <c r="CN16" s="2740"/>
      <c r="CO16" s="2740"/>
      <c r="CP16" s="2740"/>
      <c r="CQ16" s="2740"/>
      <c r="CR16" s="2740"/>
      <c r="CS16" s="2740"/>
      <c r="CT16" s="2740"/>
      <c r="CU16" s="2740"/>
      <c r="CV16" s="2740"/>
      <c r="CW16" s="2740"/>
      <c r="CX16" s="2741"/>
      <c r="CY16" s="2625" t="s">
        <v>557</v>
      </c>
      <c r="CZ16" s="2664"/>
      <c r="DA16" s="2625" t="s">
        <v>557</v>
      </c>
      <c r="DB16" s="2664"/>
      <c r="DC16" s="2625" t="s">
        <v>557</v>
      </c>
      <c r="DD16" s="2664"/>
      <c r="DE16" s="2662" t="s">
        <v>1266</v>
      </c>
      <c r="DF16" s="2739"/>
      <c r="DG16" s="2662" t="s">
        <v>1269</v>
      </c>
      <c r="DH16" s="2739"/>
      <c r="DI16" s="2662" t="s">
        <v>1269</v>
      </c>
      <c r="DJ16" s="2739"/>
      <c r="DK16" s="2747"/>
      <c r="DL16" s="2740"/>
      <c r="DM16" s="2740"/>
      <c r="DN16" s="2740"/>
      <c r="DO16" s="2740"/>
      <c r="DP16" s="2740"/>
      <c r="DQ16" s="2740"/>
      <c r="DR16" s="2740"/>
      <c r="DS16" s="2740"/>
      <c r="DT16" s="2740"/>
      <c r="DU16" s="2740"/>
      <c r="DV16" s="2740"/>
      <c r="DW16" s="2740"/>
      <c r="DX16" s="2740"/>
      <c r="DY16" s="2740"/>
      <c r="DZ16" s="2740"/>
      <c r="EA16" s="2740"/>
      <c r="EB16" s="2740"/>
      <c r="EC16" s="2740"/>
      <c r="ED16" s="2740"/>
      <c r="EE16" s="2740"/>
      <c r="EF16" s="2740"/>
      <c r="EG16" s="2740"/>
      <c r="EH16" s="2740"/>
      <c r="EI16" s="2740"/>
      <c r="EJ16" s="2740"/>
      <c r="EK16" s="2740"/>
      <c r="EL16" s="2740"/>
      <c r="EM16" s="2740"/>
      <c r="EN16" s="2740"/>
      <c r="EO16" s="2740"/>
      <c r="EP16" s="2740"/>
      <c r="EQ16" s="2740"/>
      <c r="ER16" s="2740"/>
      <c r="ES16" s="2740"/>
      <c r="ET16" s="2740"/>
      <c r="EU16" s="2740"/>
      <c r="EV16" s="2740"/>
      <c r="EW16" s="2740"/>
      <c r="EX16" s="2740"/>
      <c r="EY16" s="2740"/>
      <c r="EZ16" s="2740"/>
      <c r="FA16" s="2740"/>
      <c r="FB16" s="2740"/>
      <c r="FC16" s="2740"/>
      <c r="FD16" s="2740"/>
      <c r="FE16" s="2740"/>
      <c r="FF16" s="2740"/>
      <c r="FG16" s="2740"/>
      <c r="FH16" s="2740"/>
      <c r="FI16" s="2740"/>
      <c r="FJ16" s="2740"/>
      <c r="FK16" s="2740"/>
      <c r="FL16" s="2740"/>
      <c r="FM16" s="2740"/>
      <c r="FN16" s="2740"/>
      <c r="FO16" s="2740"/>
      <c r="FP16" s="2740"/>
      <c r="FQ16" s="2740"/>
      <c r="FR16" s="2740"/>
      <c r="FS16" s="2740"/>
      <c r="FT16" s="2740"/>
      <c r="FU16" s="2740"/>
      <c r="FV16" s="2740"/>
      <c r="FW16" s="2745"/>
      <c r="FX16" s="696"/>
      <c r="GC16" s="851">
        <v>12</v>
      </c>
    </row>
    <row r="17" spans="1:185" ht="15.75" customHeight="1">
      <c r="E17" s="862"/>
      <c r="F17" s="2520"/>
      <c r="G17" s="2520"/>
      <c r="H17" s="2520"/>
      <c r="I17" s="2520"/>
      <c r="J17" s="2757"/>
      <c r="K17" s="2757"/>
      <c r="L17" s="2757"/>
      <c r="M17" s="2757"/>
      <c r="N17" s="2757"/>
      <c r="O17" s="1107" t="s">
        <v>1270</v>
      </c>
      <c r="P17" s="1107" t="s">
        <v>1271</v>
      </c>
      <c r="Q17" s="1107" t="s">
        <v>1270</v>
      </c>
      <c r="R17" s="1107" t="s">
        <v>1271</v>
      </c>
      <c r="S17" s="1107" t="s">
        <v>1270</v>
      </c>
      <c r="T17" s="1107" t="s">
        <v>1271</v>
      </c>
      <c r="U17" s="1107" t="s">
        <v>1270</v>
      </c>
      <c r="V17" s="1107" t="s">
        <v>1271</v>
      </c>
      <c r="W17" s="1107" t="s">
        <v>1270</v>
      </c>
      <c r="X17" s="1107" t="s">
        <v>1271</v>
      </c>
      <c r="Y17" s="1107" t="s">
        <v>1270</v>
      </c>
      <c r="Z17" s="1107" t="s">
        <v>1271</v>
      </c>
      <c r="AA17" s="1107" t="s">
        <v>1270</v>
      </c>
      <c r="AB17" s="1107" t="s">
        <v>1271</v>
      </c>
      <c r="AC17" s="2740"/>
      <c r="AD17" s="2740"/>
      <c r="AE17" s="2740"/>
      <c r="AF17" s="2740"/>
      <c r="AG17" s="2740"/>
      <c r="AH17" s="2740"/>
      <c r="AI17" s="2740"/>
      <c r="AJ17" s="2740"/>
      <c r="AK17" s="2740"/>
      <c r="AL17" s="2740"/>
      <c r="AM17" s="2740"/>
      <c r="AN17" s="2740"/>
      <c r="AO17" s="2740"/>
      <c r="AP17" s="2740"/>
      <c r="AQ17" s="2740"/>
      <c r="AR17" s="2740"/>
      <c r="AS17" s="2740"/>
      <c r="AT17" s="2740"/>
      <c r="AU17" s="2740"/>
      <c r="AV17" s="2740"/>
      <c r="AW17" s="2740"/>
      <c r="AX17" s="2740"/>
      <c r="AY17" s="2740"/>
      <c r="AZ17" s="2740"/>
      <c r="BA17" s="2740"/>
      <c r="BB17" s="2740"/>
      <c r="BC17" s="2740"/>
      <c r="BD17" s="2740"/>
      <c r="BE17" s="2740"/>
      <c r="BF17" s="2740"/>
      <c r="BG17" s="2740"/>
      <c r="BH17" s="2740"/>
      <c r="BI17" s="2740"/>
      <c r="BJ17" s="2740"/>
      <c r="BK17" s="2740"/>
      <c r="BL17" s="2740"/>
      <c r="BM17" s="2740"/>
      <c r="BN17" s="2740"/>
      <c r="BO17" s="2740"/>
      <c r="BP17" s="2740"/>
      <c r="BQ17" s="2740"/>
      <c r="BR17" s="2740"/>
      <c r="BS17" s="2741"/>
      <c r="BT17" s="1107" t="s">
        <v>1270</v>
      </c>
      <c r="BU17" s="1107" t="s">
        <v>1271</v>
      </c>
      <c r="BV17" s="1107" t="s">
        <v>1270</v>
      </c>
      <c r="BW17" s="1107" t="s">
        <v>1271</v>
      </c>
      <c r="BX17" s="1107" t="s">
        <v>1270</v>
      </c>
      <c r="BY17" s="1107" t="s">
        <v>1271</v>
      </c>
      <c r="BZ17" s="1107" t="s">
        <v>1270</v>
      </c>
      <c r="CA17" s="1107" t="s">
        <v>1271</v>
      </c>
      <c r="CB17" s="1107" t="s">
        <v>1270</v>
      </c>
      <c r="CC17" s="1107" t="s">
        <v>1271</v>
      </c>
      <c r="CD17" s="1107" t="s">
        <v>1270</v>
      </c>
      <c r="CE17" s="1107" t="s">
        <v>1271</v>
      </c>
      <c r="CF17" s="1107" t="s">
        <v>1270</v>
      </c>
      <c r="CG17" s="1107" t="s">
        <v>1271</v>
      </c>
      <c r="CH17" s="1107" t="s">
        <v>1270</v>
      </c>
      <c r="CI17" s="1107" t="s">
        <v>1271</v>
      </c>
      <c r="CJ17" s="1107" t="s">
        <v>1270</v>
      </c>
      <c r="CK17" s="1107" t="s">
        <v>1271</v>
      </c>
      <c r="CL17" s="2747"/>
      <c r="CM17" s="2740"/>
      <c r="CN17" s="2740"/>
      <c r="CO17" s="2740"/>
      <c r="CP17" s="2740"/>
      <c r="CQ17" s="2740"/>
      <c r="CR17" s="2740"/>
      <c r="CS17" s="2740"/>
      <c r="CT17" s="2740"/>
      <c r="CU17" s="2740"/>
      <c r="CV17" s="2740"/>
      <c r="CW17" s="2740"/>
      <c r="CX17" s="2741"/>
      <c r="CY17" s="1107" t="s">
        <v>1270</v>
      </c>
      <c r="CZ17" s="1107" t="s">
        <v>1271</v>
      </c>
      <c r="DA17" s="1107" t="s">
        <v>1270</v>
      </c>
      <c r="DB17" s="1107" t="s">
        <v>1271</v>
      </c>
      <c r="DC17" s="1107" t="s">
        <v>1270</v>
      </c>
      <c r="DD17" s="1107" t="s">
        <v>1271</v>
      </c>
      <c r="DE17" s="1107" t="s">
        <v>1270</v>
      </c>
      <c r="DF17" s="1107" t="s">
        <v>1271</v>
      </c>
      <c r="DG17" s="1107" t="s">
        <v>1270</v>
      </c>
      <c r="DH17" s="1107" t="s">
        <v>1271</v>
      </c>
      <c r="DI17" s="1107" t="s">
        <v>1270</v>
      </c>
      <c r="DJ17" s="1107" t="s">
        <v>1271</v>
      </c>
      <c r="DK17" s="2747"/>
      <c r="DL17" s="2740"/>
      <c r="DM17" s="2740"/>
      <c r="DN17" s="2740"/>
      <c r="DO17" s="2740"/>
      <c r="DP17" s="2740"/>
      <c r="DQ17" s="2740"/>
      <c r="DR17" s="2740"/>
      <c r="DS17" s="2740"/>
      <c r="DT17" s="2740"/>
      <c r="DU17" s="2740"/>
      <c r="DV17" s="2740"/>
      <c r="DW17" s="2740"/>
      <c r="DX17" s="2740"/>
      <c r="DY17" s="2740"/>
      <c r="DZ17" s="2740"/>
      <c r="EA17" s="2740"/>
      <c r="EB17" s="2740"/>
      <c r="EC17" s="2740"/>
      <c r="ED17" s="2740"/>
      <c r="EE17" s="2740"/>
      <c r="EF17" s="2740"/>
      <c r="EG17" s="2740"/>
      <c r="EH17" s="2740"/>
      <c r="EI17" s="2740"/>
      <c r="EJ17" s="2740"/>
      <c r="EK17" s="2740"/>
      <c r="EL17" s="2740"/>
      <c r="EM17" s="2740"/>
      <c r="EN17" s="2740"/>
      <c r="EO17" s="2740"/>
      <c r="EP17" s="2740"/>
      <c r="EQ17" s="2740"/>
      <c r="ER17" s="2740"/>
      <c r="ES17" s="2740"/>
      <c r="ET17" s="2740"/>
      <c r="EU17" s="2740"/>
      <c r="EV17" s="2740"/>
      <c r="EW17" s="2740"/>
      <c r="EX17" s="2740"/>
      <c r="EY17" s="2740"/>
      <c r="EZ17" s="2740"/>
      <c r="FA17" s="2740"/>
      <c r="FB17" s="2740"/>
      <c r="FC17" s="2740"/>
      <c r="FD17" s="2740"/>
      <c r="FE17" s="2740"/>
      <c r="FF17" s="2740"/>
      <c r="FG17" s="2740"/>
      <c r="FH17" s="2740"/>
      <c r="FI17" s="2740"/>
      <c r="FJ17" s="2740"/>
      <c r="FK17" s="2740"/>
      <c r="FL17" s="2740"/>
      <c r="FM17" s="2740"/>
      <c r="FN17" s="2740"/>
      <c r="FO17" s="2740"/>
      <c r="FP17" s="2740"/>
      <c r="FQ17" s="2740"/>
      <c r="FR17" s="2740"/>
      <c r="FS17" s="2740"/>
      <c r="FT17" s="2740"/>
      <c r="FU17" s="2740"/>
      <c r="FV17" s="2740"/>
      <c r="FW17" s="2746"/>
      <c r="FX17" s="696"/>
      <c r="GC17" s="851">
        <v>15</v>
      </c>
    </row>
    <row r="18" spans="1:185" s="2351" customFormat="1" ht="12" hidden="1" customHeight="1">
      <c r="B18" s="848"/>
      <c r="E18" s="864"/>
      <c r="F18" s="1108"/>
      <c r="G18" s="1108"/>
      <c r="H18" s="1108"/>
      <c r="I18" s="1108"/>
      <c r="J18" s="1109"/>
      <c r="K18" s="1109"/>
      <c r="L18" s="1109"/>
      <c r="M18" s="1109"/>
      <c r="N18" s="1109"/>
      <c r="O18" s="1108"/>
      <c r="P18" s="1108"/>
      <c r="Q18" s="1108"/>
      <c r="R18" s="1108"/>
      <c r="S18" s="1108"/>
      <c r="T18" s="1108"/>
      <c r="U18" s="1110"/>
      <c r="V18" s="1110"/>
      <c r="W18" s="1110"/>
      <c r="X18" s="1110"/>
      <c r="Y18" s="1110"/>
      <c r="Z18" s="1110"/>
      <c r="AA18" s="1110"/>
      <c r="AB18" s="1108"/>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AZ18" s="1109"/>
      <c r="BA18" s="1109"/>
      <c r="BB18" s="1109"/>
      <c r="BC18" s="1109"/>
      <c r="BD18" s="1109"/>
      <c r="BE18" s="1109"/>
      <c r="BF18" s="1109"/>
      <c r="BG18" s="1109"/>
      <c r="BH18" s="1109"/>
      <c r="BI18" s="1109"/>
      <c r="BJ18" s="1109"/>
      <c r="BK18" s="1109"/>
      <c r="BL18" s="1109"/>
      <c r="BM18" s="1109"/>
      <c r="BN18" s="1109"/>
      <c r="BO18" s="1109"/>
      <c r="BP18" s="1109"/>
      <c r="BQ18" s="1109"/>
      <c r="BR18" s="1109"/>
      <c r="BS18" s="1109"/>
      <c r="BT18" s="1111"/>
      <c r="BU18" s="1111"/>
      <c r="BV18" s="1111"/>
      <c r="BW18" s="1111"/>
      <c r="BX18" s="1111"/>
      <c r="BY18" s="1111"/>
      <c r="BZ18" s="1111"/>
      <c r="CA18" s="1111"/>
      <c r="CB18" s="1111"/>
      <c r="CC18" s="1111"/>
      <c r="CD18" s="1111"/>
      <c r="CE18" s="1111"/>
      <c r="CF18" s="1111"/>
      <c r="CG18" s="1111"/>
      <c r="CH18" s="1111"/>
      <c r="CI18" s="1111"/>
      <c r="CJ18" s="1111"/>
      <c r="CK18" s="1111"/>
      <c r="CL18" s="1109"/>
      <c r="CM18" s="1109"/>
      <c r="CN18" s="1109"/>
      <c r="CO18" s="1109"/>
      <c r="CP18" s="1109"/>
      <c r="CQ18" s="1109"/>
      <c r="CR18" s="1109"/>
      <c r="CS18" s="1109"/>
      <c r="CT18" s="1109"/>
      <c r="CU18" s="1109"/>
      <c r="CV18" s="1109"/>
      <c r="CW18" s="1109"/>
      <c r="CX18" s="1109"/>
      <c r="CY18" s="1111"/>
      <c r="CZ18" s="1111"/>
      <c r="DA18" s="1111"/>
      <c r="DB18" s="1111"/>
      <c r="DC18" s="1111"/>
      <c r="DD18" s="1111"/>
      <c r="DE18" s="1111"/>
      <c r="DF18" s="1111"/>
      <c r="DG18" s="1111"/>
      <c r="DH18" s="1111"/>
      <c r="DI18" s="1111"/>
      <c r="DJ18" s="1111"/>
      <c r="DK18" s="1109"/>
      <c r="DL18" s="1109"/>
      <c r="DM18" s="1109"/>
      <c r="DN18" s="1109"/>
      <c r="DO18" s="1109"/>
      <c r="DP18" s="1109"/>
      <c r="DQ18" s="1109"/>
      <c r="DR18" s="1109"/>
      <c r="DS18" s="1109"/>
      <c r="DT18" s="1109"/>
      <c r="DU18" s="1109"/>
      <c r="DV18" s="1109"/>
      <c r="DW18" s="1109"/>
      <c r="DX18" s="1109"/>
      <c r="DY18" s="1109"/>
      <c r="DZ18" s="1109"/>
      <c r="EA18" s="1109"/>
      <c r="EB18" s="1109"/>
      <c r="EC18" s="1109"/>
      <c r="ED18" s="1109"/>
      <c r="EE18" s="1109"/>
      <c r="EF18" s="1109"/>
      <c r="EG18" s="1109"/>
      <c r="EH18" s="1109"/>
      <c r="EI18" s="1109"/>
      <c r="EJ18" s="1109"/>
      <c r="EK18" s="1109"/>
      <c r="EL18" s="1109"/>
      <c r="EM18" s="1109"/>
      <c r="EN18" s="1109"/>
      <c r="EO18" s="1109"/>
      <c r="EP18" s="1109"/>
      <c r="EQ18" s="1109"/>
      <c r="ER18" s="1109"/>
      <c r="ES18" s="1109"/>
      <c r="ET18" s="1109"/>
      <c r="EU18" s="1109"/>
      <c r="EV18" s="1109"/>
      <c r="EW18" s="1109"/>
      <c r="EX18" s="1109"/>
      <c r="EY18" s="1109"/>
      <c r="EZ18" s="1109"/>
      <c r="FA18" s="1109"/>
      <c r="FB18" s="1109"/>
      <c r="FC18" s="1109"/>
      <c r="FD18" s="1109"/>
      <c r="FE18" s="1109"/>
      <c r="FF18" s="1109"/>
      <c r="FG18" s="1109"/>
      <c r="FH18" s="1109"/>
      <c r="FI18" s="1109"/>
      <c r="FJ18" s="1109"/>
      <c r="FK18" s="1109"/>
      <c r="FL18" s="1109"/>
      <c r="FM18" s="1109"/>
      <c r="FN18" s="1109"/>
      <c r="FO18" s="1109"/>
      <c r="FP18" s="1109"/>
      <c r="FQ18" s="1109"/>
      <c r="FR18" s="1109"/>
      <c r="FS18" s="1109"/>
      <c r="FT18" s="1109"/>
      <c r="FU18" s="1109"/>
      <c r="FV18" s="1109"/>
      <c r="FW18" s="1108"/>
      <c r="FX18" s="1112"/>
      <c r="GC18" s="849">
        <v>0</v>
      </c>
    </row>
    <row r="19" spans="1:185" s="2351" customFormat="1" ht="11.25" hidden="1" customHeight="1">
      <c r="B19" s="848"/>
      <c r="E19" s="864"/>
      <c r="F19" s="1108"/>
      <c r="G19" s="1108"/>
      <c r="H19" s="1108"/>
      <c r="I19" s="1108"/>
      <c r="J19" s="1108"/>
      <c r="K19" s="1108"/>
      <c r="L19" s="1108"/>
      <c r="M19" s="1108"/>
      <c r="N19" s="1108"/>
      <c r="O19" s="1108"/>
      <c r="P19" s="1108"/>
      <c r="Q19" s="1108"/>
      <c r="R19" s="1108"/>
      <c r="S19" s="1108"/>
      <c r="T19" s="1108"/>
      <c r="U19" s="1110"/>
      <c r="V19" s="1110"/>
      <c r="W19" s="1110"/>
      <c r="X19" s="1110"/>
      <c r="Y19" s="1110"/>
      <c r="Z19" s="1110"/>
      <c r="AA19" s="1110"/>
      <c r="AB19" s="1108"/>
      <c r="AC19" s="1108"/>
      <c r="AD19" s="1108"/>
      <c r="AE19" s="1108"/>
      <c r="AF19" s="1108"/>
      <c r="AG19" s="1108"/>
      <c r="AH19" s="1108"/>
      <c r="AI19" s="1108"/>
      <c r="AJ19" s="1108"/>
      <c r="AK19" s="1108"/>
      <c r="AL19" s="1108"/>
      <c r="AM19" s="1108"/>
      <c r="AN19" s="1108"/>
      <c r="AO19" s="1108"/>
      <c r="AP19" s="1108"/>
      <c r="AQ19" s="1108"/>
      <c r="AR19" s="1108"/>
      <c r="AS19" s="1108"/>
      <c r="AT19" s="1108"/>
      <c r="AU19" s="1108"/>
      <c r="AV19" s="1108"/>
      <c r="AW19" s="1108"/>
      <c r="AX19" s="1108"/>
      <c r="AY19" s="1108"/>
      <c r="AZ19" s="1108"/>
      <c r="BA19" s="1108"/>
      <c r="BB19" s="1108"/>
      <c r="BC19" s="1108"/>
      <c r="BD19" s="1108"/>
      <c r="BE19" s="1108"/>
      <c r="BF19" s="1108"/>
      <c r="BG19" s="1108"/>
      <c r="BH19" s="1108"/>
      <c r="BI19" s="1108"/>
      <c r="BJ19" s="1108"/>
      <c r="BK19" s="1108"/>
      <c r="BL19" s="1108"/>
      <c r="BM19" s="1108"/>
      <c r="BN19" s="1108"/>
      <c r="BO19" s="1108"/>
      <c r="BP19" s="1108"/>
      <c r="BQ19" s="1108"/>
      <c r="BR19" s="1108"/>
      <c r="BS19" s="1108"/>
      <c r="BT19" s="1108"/>
      <c r="BU19" s="1108"/>
      <c r="BV19" s="1108"/>
      <c r="BW19" s="1108"/>
      <c r="BX19" s="1108"/>
      <c r="BY19" s="1108"/>
      <c r="BZ19" s="1108"/>
      <c r="CA19" s="1108"/>
      <c r="CB19" s="1108"/>
      <c r="CC19" s="1108"/>
      <c r="CD19" s="1108"/>
      <c r="CE19" s="1108"/>
      <c r="CF19" s="1108"/>
      <c r="CG19" s="1108"/>
      <c r="CH19" s="1108"/>
      <c r="CI19" s="1108"/>
      <c r="CJ19" s="1108"/>
      <c r="CK19" s="1108"/>
      <c r="CL19" s="1108"/>
      <c r="CM19" s="1108"/>
      <c r="CN19" s="1108"/>
      <c r="CO19" s="1108"/>
      <c r="CP19" s="1108"/>
      <c r="CQ19" s="1108"/>
      <c r="CR19" s="1108"/>
      <c r="CS19" s="1108"/>
      <c r="CT19" s="1108"/>
      <c r="CU19" s="1108"/>
      <c r="CV19" s="1108"/>
      <c r="CW19" s="1108"/>
      <c r="CX19" s="1108"/>
      <c r="CY19" s="1108"/>
      <c r="CZ19" s="1108"/>
      <c r="DA19" s="1108"/>
      <c r="DB19" s="1108"/>
      <c r="DC19" s="1108"/>
      <c r="DD19" s="1108"/>
      <c r="DE19" s="1108"/>
      <c r="DF19" s="1108"/>
      <c r="DG19" s="1108"/>
      <c r="DH19" s="1108"/>
      <c r="DI19" s="1108"/>
      <c r="DJ19" s="1108"/>
      <c r="DK19" s="1108"/>
      <c r="DL19" s="1108"/>
      <c r="DM19" s="1108"/>
      <c r="DN19" s="1108"/>
      <c r="DO19" s="1108"/>
      <c r="DP19" s="1108"/>
      <c r="DQ19" s="1108"/>
      <c r="DR19" s="1108"/>
      <c r="DS19" s="1108"/>
      <c r="DT19" s="1108"/>
      <c r="DU19" s="1108"/>
      <c r="DV19" s="1108"/>
      <c r="DW19" s="1108"/>
      <c r="DX19" s="1108"/>
      <c r="DY19" s="1108"/>
      <c r="DZ19" s="1108"/>
      <c r="EA19" s="1108"/>
      <c r="EB19" s="1108"/>
      <c r="EC19" s="1108"/>
      <c r="ED19" s="1108"/>
      <c r="EE19" s="1108"/>
      <c r="EF19" s="1108"/>
      <c r="EG19" s="1108"/>
      <c r="EH19" s="1108"/>
      <c r="EI19" s="1108"/>
      <c r="EJ19" s="1108"/>
      <c r="EK19" s="1108"/>
      <c r="EL19" s="1108"/>
      <c r="EM19" s="1108"/>
      <c r="EN19" s="1108"/>
      <c r="EO19" s="1108"/>
      <c r="EP19" s="1108"/>
      <c r="EQ19" s="1108"/>
      <c r="ER19" s="1108"/>
      <c r="ES19" s="1108"/>
      <c r="ET19" s="1108"/>
      <c r="EU19" s="1108"/>
      <c r="EV19" s="1108"/>
      <c r="EW19" s="1108"/>
      <c r="EX19" s="1108"/>
      <c r="EY19" s="1108"/>
      <c r="EZ19" s="1108"/>
      <c r="FA19" s="1108"/>
      <c r="FB19" s="1108"/>
      <c r="FC19" s="1108"/>
      <c r="FD19" s="1108"/>
      <c r="FE19" s="1108"/>
      <c r="FF19" s="1108"/>
      <c r="FG19" s="1108"/>
      <c r="FH19" s="1108"/>
      <c r="FI19" s="1108"/>
      <c r="FJ19" s="1108"/>
      <c r="FK19" s="1108"/>
      <c r="FL19" s="1108"/>
      <c r="FM19" s="1108"/>
      <c r="FN19" s="1108"/>
      <c r="FO19" s="1108"/>
      <c r="FP19" s="1108"/>
      <c r="FQ19" s="1108"/>
      <c r="FR19" s="1108"/>
      <c r="FS19" s="1108"/>
      <c r="FT19" s="1108"/>
      <c r="FU19" s="1108"/>
      <c r="FV19" s="1108"/>
      <c r="FW19" s="1108"/>
      <c r="FX19" s="1112"/>
      <c r="GC19" s="849">
        <v>0</v>
      </c>
    </row>
    <row r="20" spans="1:185" s="2351" customFormat="1" ht="11.25" hidden="1" customHeight="1">
      <c r="B20" s="865"/>
      <c r="D20" s="849"/>
      <c r="E20" s="864"/>
      <c r="F20" s="1113" t="s">
        <v>375</v>
      </c>
      <c r="G20" s="1114"/>
      <c r="H20" s="1115"/>
      <c r="I20" s="1115"/>
      <c r="J20" s="1115"/>
      <c r="K20" s="1115"/>
      <c r="L20" s="1115"/>
      <c r="M20" s="1115"/>
      <c r="N20" s="1115"/>
      <c r="O20" s="1114"/>
      <c r="P20" s="1114"/>
      <c r="Q20" s="1114"/>
      <c r="R20" s="1114"/>
      <c r="S20" s="1114"/>
      <c r="T20" s="1114"/>
      <c r="U20" s="1116"/>
      <c r="V20" s="1116"/>
      <c r="W20" s="1116"/>
      <c r="X20" s="1116"/>
      <c r="Y20" s="1116"/>
      <c r="Z20" s="1116"/>
      <c r="AA20" s="1116"/>
      <c r="AB20" s="1114"/>
      <c r="AC20" s="1115"/>
      <c r="AD20" s="1115"/>
      <c r="AE20" s="1115"/>
      <c r="AF20" s="1115"/>
      <c r="AG20" s="1115"/>
      <c r="AH20" s="1115"/>
      <c r="AI20" s="1115"/>
      <c r="AJ20" s="1115"/>
      <c r="AK20" s="1115"/>
      <c r="AL20" s="1115"/>
      <c r="AM20" s="1115"/>
      <c r="AN20" s="1115"/>
      <c r="AO20" s="1115"/>
      <c r="AP20" s="1115"/>
      <c r="AQ20" s="1115"/>
      <c r="AR20" s="1115"/>
      <c r="AS20" s="1115"/>
      <c r="AT20" s="1115"/>
      <c r="AU20" s="1115"/>
      <c r="AV20" s="1115"/>
      <c r="AW20" s="1115"/>
      <c r="AX20" s="1115"/>
      <c r="AY20" s="1115"/>
      <c r="AZ20" s="1115"/>
      <c r="BA20" s="1115"/>
      <c r="BB20" s="1115"/>
      <c r="BC20" s="1115"/>
      <c r="BD20" s="1115"/>
      <c r="BE20" s="1115"/>
      <c r="BF20" s="1115"/>
      <c r="BG20" s="1115"/>
      <c r="BH20" s="1115"/>
      <c r="BI20" s="1115"/>
      <c r="BJ20" s="1115"/>
      <c r="BK20" s="1115"/>
      <c r="BL20" s="1115"/>
      <c r="BM20" s="1115"/>
      <c r="BN20" s="1115"/>
      <c r="BO20" s="1115"/>
      <c r="BP20" s="1115"/>
      <c r="BQ20" s="1115"/>
      <c r="BR20" s="1115"/>
      <c r="BS20" s="1115"/>
      <c r="BT20" s="1115"/>
      <c r="BU20" s="1115"/>
      <c r="BV20" s="1115"/>
      <c r="BW20" s="1115"/>
      <c r="BX20" s="1115"/>
      <c r="BY20" s="1115"/>
      <c r="BZ20" s="1115"/>
      <c r="CA20" s="1115"/>
      <c r="CB20" s="1115"/>
      <c r="CC20" s="1115"/>
      <c r="CD20" s="1115"/>
      <c r="CE20" s="1115"/>
      <c r="CF20" s="1115"/>
      <c r="CG20" s="1115"/>
      <c r="CH20" s="1115"/>
      <c r="CI20" s="1115"/>
      <c r="CJ20" s="1115"/>
      <c r="CK20" s="1115"/>
      <c r="CL20" s="1117"/>
      <c r="CM20" s="1117"/>
      <c r="CN20" s="1117"/>
      <c r="CO20" s="1117"/>
      <c r="CP20" s="1117"/>
      <c r="CQ20" s="1117"/>
      <c r="CR20" s="1117"/>
      <c r="CS20" s="1117"/>
      <c r="CT20" s="1117"/>
      <c r="CU20" s="1117"/>
      <c r="CV20" s="1117"/>
      <c r="CW20" s="1117"/>
      <c r="CX20" s="1117"/>
      <c r="CY20" s="1117"/>
      <c r="CZ20" s="1117"/>
      <c r="DA20" s="1117"/>
      <c r="DB20" s="1117"/>
      <c r="DC20" s="1117"/>
      <c r="DD20" s="1117"/>
      <c r="DE20" s="1117"/>
      <c r="DF20" s="1117"/>
      <c r="DG20" s="1117"/>
      <c r="DH20" s="1117"/>
      <c r="DI20" s="1117"/>
      <c r="DJ20" s="1117"/>
      <c r="DK20" s="1117"/>
      <c r="DL20" s="1117"/>
      <c r="DM20" s="1117"/>
      <c r="DN20" s="1117"/>
      <c r="DO20" s="1117"/>
      <c r="DP20" s="1117"/>
      <c r="DQ20" s="1117"/>
      <c r="DR20" s="1117"/>
      <c r="DS20" s="1117"/>
      <c r="DT20" s="1117"/>
      <c r="DU20" s="1117"/>
      <c r="DV20" s="1117"/>
      <c r="DW20" s="1117"/>
      <c r="DX20" s="1117"/>
      <c r="DY20" s="1117"/>
      <c r="DZ20" s="1117"/>
      <c r="EA20" s="1117"/>
      <c r="EB20" s="1117"/>
      <c r="EC20" s="1117"/>
      <c r="ED20" s="1117"/>
      <c r="EE20" s="1117"/>
      <c r="EF20" s="1117"/>
      <c r="EG20" s="1117"/>
      <c r="EH20" s="1117"/>
      <c r="EI20" s="1117"/>
      <c r="EJ20" s="1117"/>
      <c r="EK20" s="1117"/>
      <c r="EL20" s="1117"/>
      <c r="EM20" s="1117"/>
      <c r="EN20" s="1117"/>
      <c r="EO20" s="1117"/>
      <c r="EP20" s="1117"/>
      <c r="EQ20" s="1117"/>
      <c r="ER20" s="1117"/>
      <c r="ES20" s="1117"/>
      <c r="ET20" s="1117"/>
      <c r="EU20" s="1117"/>
      <c r="EV20" s="1117"/>
      <c r="EW20" s="1117"/>
      <c r="EX20" s="1117"/>
      <c r="EY20" s="1117"/>
      <c r="EZ20" s="1117"/>
      <c r="FA20" s="1117"/>
      <c r="FB20" s="1117"/>
      <c r="FC20" s="1117"/>
      <c r="FD20" s="1117"/>
      <c r="FE20" s="1117"/>
      <c r="FF20" s="1117"/>
      <c r="FG20" s="1117"/>
      <c r="FH20" s="1117"/>
      <c r="FI20" s="1117"/>
      <c r="FJ20" s="1117"/>
      <c r="FK20" s="1117"/>
      <c r="FL20" s="1117"/>
      <c r="FM20" s="1117"/>
      <c r="FN20" s="1117"/>
      <c r="FO20" s="1117"/>
      <c r="FP20" s="1117"/>
      <c r="FQ20" s="1117"/>
      <c r="FR20" s="1117"/>
      <c r="FS20" s="1117"/>
      <c r="FT20" s="1117"/>
      <c r="FU20" s="1117"/>
      <c r="FV20" s="1117"/>
      <c r="FW20" s="1117"/>
      <c r="FX20" s="1118"/>
      <c r="GC20" s="847">
        <v>0</v>
      </c>
    </row>
    <row r="21" spans="1:185" s="2351" customFormat="1" ht="21" customHeight="1">
      <c r="A21" s="2072" t="s">
        <v>1102</v>
      </c>
      <c r="B21" s="2073"/>
      <c r="C21" s="2074"/>
      <c r="D21" s="2074"/>
      <c r="E21" s="2075" t="s">
        <v>22</v>
      </c>
      <c r="F21" s="2076" t="str">
        <f>INDEX(IP_MAIN_LIST_NAME_IP,MATCH(A21,IP_MAIN_LIST_IP_ID,0))&amp;" ("&amp;INDEX(IP_MAIN_START_DATE,MATCH(A21,IP_MAIN_LIST_IP_ID,0))&amp;"-"&amp;INDEX(IP_MAIN_END_DATE,MATCH(A21,IP_MAIN_LIST_IP_ID,0))&amp;")"</f>
        <v>Инвестиционная программа от 15.07.2019 ООО "Пятигорсктеплосервис" в сфере теплоснабжения по развитию систем теплоснабжения, на территории городского округа Город-курорт Пятигорск на 2020-2023 годы (01.01.2020-31.12.2023)</v>
      </c>
      <c r="G21" s="2077"/>
      <c r="H21" s="2078"/>
      <c r="I21" s="2078"/>
      <c r="J21" s="2078"/>
      <c r="K21" s="2078"/>
      <c r="L21" s="2078"/>
      <c r="M21" s="2078"/>
      <c r="N21" s="2078"/>
      <c r="O21" s="2077"/>
      <c r="P21" s="2077"/>
      <c r="Q21" s="2077"/>
      <c r="R21" s="2077"/>
      <c r="S21" s="2077"/>
      <c r="T21" s="2077"/>
      <c r="U21" s="2079"/>
      <c r="V21" s="2079"/>
      <c r="W21" s="2079"/>
      <c r="X21" s="2079"/>
      <c r="Y21" s="2079"/>
      <c r="Z21" s="2079"/>
      <c r="AA21" s="2079"/>
      <c r="AB21" s="2077"/>
      <c r="AC21" s="2078"/>
      <c r="AD21" s="2078"/>
      <c r="AE21" s="2078"/>
      <c r="AF21" s="2078"/>
      <c r="AG21" s="2078"/>
      <c r="AH21" s="2078"/>
      <c r="AI21" s="2078"/>
      <c r="AJ21" s="2078"/>
      <c r="AK21" s="2078"/>
      <c r="AL21" s="2078"/>
      <c r="AM21" s="2078"/>
      <c r="AN21" s="2078"/>
      <c r="AO21" s="2078"/>
      <c r="AP21" s="2078"/>
      <c r="AQ21" s="2078"/>
      <c r="AR21" s="2078"/>
      <c r="AS21" s="2078"/>
      <c r="AT21" s="2078"/>
      <c r="AU21" s="2078"/>
      <c r="AV21" s="2078"/>
      <c r="AW21" s="2078"/>
      <c r="AX21" s="2078"/>
      <c r="AY21" s="2078"/>
      <c r="AZ21" s="2078"/>
      <c r="BA21" s="2078"/>
      <c r="BB21" s="2078"/>
      <c r="BC21" s="2078"/>
      <c r="BD21" s="2078"/>
      <c r="BE21" s="2078"/>
      <c r="BF21" s="2078"/>
      <c r="BG21" s="2078"/>
      <c r="BH21" s="2078"/>
      <c r="BI21" s="2078"/>
      <c r="BJ21" s="2078"/>
      <c r="BK21" s="2078"/>
      <c r="BL21" s="2078"/>
      <c r="BM21" s="2078"/>
      <c r="BN21" s="2078"/>
      <c r="BO21" s="2078"/>
      <c r="BP21" s="2078"/>
      <c r="BQ21" s="2078"/>
      <c r="BR21" s="2078"/>
      <c r="BS21" s="2078"/>
      <c r="BT21" s="2078"/>
      <c r="BU21" s="2078"/>
      <c r="BV21" s="2078"/>
      <c r="BW21" s="2078"/>
      <c r="BX21" s="2078"/>
      <c r="BY21" s="2078"/>
      <c r="BZ21" s="2078"/>
      <c r="CA21" s="2078"/>
      <c r="CB21" s="2078"/>
      <c r="CC21" s="2078"/>
      <c r="CD21" s="2078"/>
      <c r="CE21" s="2078"/>
      <c r="CF21" s="2078"/>
      <c r="CG21" s="2078"/>
      <c r="CH21" s="2078"/>
      <c r="CI21" s="2078"/>
      <c r="CJ21" s="2078"/>
      <c r="CK21" s="2078"/>
      <c r="CL21" s="2080"/>
      <c r="CM21" s="2080"/>
      <c r="CN21" s="2080"/>
      <c r="CO21" s="2080"/>
      <c r="CP21" s="2080"/>
      <c r="CQ21" s="2080"/>
      <c r="CR21" s="2080"/>
      <c r="CS21" s="2080"/>
      <c r="CT21" s="2080"/>
      <c r="CU21" s="2080"/>
      <c r="CV21" s="2080"/>
      <c r="CW21" s="2080"/>
      <c r="CX21" s="2080"/>
      <c r="CY21" s="2080"/>
      <c r="CZ21" s="2080"/>
      <c r="DA21" s="2080"/>
      <c r="DB21" s="2080"/>
      <c r="DC21" s="2080"/>
      <c r="DD21" s="2080"/>
      <c r="DE21" s="2080"/>
      <c r="DF21" s="2080"/>
      <c r="DG21" s="2080"/>
      <c r="DH21" s="2080"/>
      <c r="DI21" s="2080"/>
      <c r="DJ21" s="2080"/>
      <c r="DK21" s="2080"/>
      <c r="DL21" s="2080"/>
      <c r="DM21" s="2080"/>
      <c r="DN21" s="2080"/>
      <c r="DO21" s="2080"/>
      <c r="DP21" s="2080"/>
      <c r="DQ21" s="2080"/>
      <c r="DR21" s="2080"/>
      <c r="DS21" s="2080"/>
      <c r="DT21" s="2080"/>
      <c r="DU21" s="2080"/>
      <c r="DV21" s="2080"/>
      <c r="DW21" s="2080"/>
      <c r="DX21" s="2080"/>
      <c r="DY21" s="2080"/>
      <c r="DZ21" s="2080"/>
      <c r="EA21" s="2080"/>
      <c r="EB21" s="2080"/>
      <c r="EC21" s="2080"/>
      <c r="ED21" s="2080"/>
      <c r="EE21" s="2080"/>
      <c r="EF21" s="2080"/>
      <c r="EG21" s="2080"/>
      <c r="EH21" s="2080"/>
      <c r="EI21" s="2080"/>
      <c r="EJ21" s="2080"/>
      <c r="EK21" s="2080"/>
      <c r="EL21" s="2080"/>
      <c r="EM21" s="2080"/>
      <c r="EN21" s="2080"/>
      <c r="EO21" s="2080"/>
      <c r="EP21" s="2080"/>
      <c r="EQ21" s="2080"/>
      <c r="ER21" s="2080"/>
      <c r="ES21" s="2080"/>
      <c r="ET21" s="2080"/>
      <c r="EU21" s="2080"/>
      <c r="EV21" s="2080"/>
      <c r="EW21" s="2080"/>
      <c r="EX21" s="2080"/>
      <c r="EY21" s="2080"/>
      <c r="EZ21" s="2080"/>
      <c r="FA21" s="2080"/>
      <c r="FB21" s="2080"/>
      <c r="FC21" s="2080"/>
      <c r="FD21" s="2080"/>
      <c r="FE21" s="2080"/>
      <c r="FF21" s="2080"/>
      <c r="FG21" s="2080"/>
      <c r="FH21" s="2080"/>
      <c r="FI21" s="2080"/>
      <c r="FJ21" s="2080"/>
      <c r="FK21" s="2080"/>
      <c r="FL21" s="2080"/>
      <c r="FM21" s="2080"/>
      <c r="FN21" s="2080"/>
      <c r="FO21" s="2080"/>
      <c r="FP21" s="2080"/>
      <c r="FQ21" s="2080"/>
      <c r="FR21" s="2080"/>
      <c r="FS21" s="2080"/>
      <c r="FT21" s="2080"/>
      <c r="FU21" s="2080"/>
      <c r="FV21" s="2081"/>
      <c r="FW21" s="2082"/>
      <c r="FX21" s="2083"/>
      <c r="FY21" s="2074"/>
      <c r="FZ21" s="2074"/>
      <c r="GA21" s="2074"/>
      <c r="GB21" s="2074"/>
    </row>
    <row r="22" spans="1:185" s="2351" customFormat="1" ht="58.5" customHeight="1">
      <c r="A22" s="2074" t="s">
        <v>1102</v>
      </c>
      <c r="B22" s="2073"/>
      <c r="C22" s="2074"/>
      <c r="D22" s="2074"/>
      <c r="E22" s="2084"/>
      <c r="F22" s="2085">
        <v>1</v>
      </c>
      <c r="G22" s="2086" t="s">
        <v>1092</v>
      </c>
      <c r="H22" s="2352" t="s">
        <v>67</v>
      </c>
      <c r="I22" s="2087"/>
      <c r="J22" s="2088"/>
      <c r="K22" s="2088"/>
      <c r="L22" s="2088"/>
      <c r="M22" s="2088"/>
      <c r="N22" s="2088"/>
      <c r="O22" s="2089">
        <v>28</v>
      </c>
      <c r="P22" s="2089">
        <v>2</v>
      </c>
      <c r="Q22" s="2089">
        <v>2</v>
      </c>
      <c r="R22" s="2089">
        <v>1</v>
      </c>
      <c r="S22" s="2089">
        <v>0.16689999999999999</v>
      </c>
      <c r="T22" s="2089">
        <v>0.16550000000000001</v>
      </c>
      <c r="U22" s="2089">
        <v>1.9427000000000001</v>
      </c>
      <c r="V22" s="2089">
        <v>0.95499999999999996</v>
      </c>
      <c r="W22" s="2089">
        <v>3.3E-3</v>
      </c>
      <c r="X22" s="2089">
        <v>1.4287E-3</v>
      </c>
      <c r="Y22" s="2089">
        <v>50850</v>
      </c>
      <c r="Z22" s="2089">
        <v>50850</v>
      </c>
      <c r="AA22" s="2089">
        <v>86.688000000000002</v>
      </c>
      <c r="AB22" s="2089">
        <v>76.047619999999995</v>
      </c>
      <c r="AC22" s="2088"/>
      <c r="AD22" s="2088"/>
      <c r="AE22" s="2088"/>
      <c r="AF22" s="2088"/>
      <c r="AG22" s="2088"/>
      <c r="AH22" s="2088"/>
      <c r="AI22" s="2088"/>
      <c r="AJ22" s="2088"/>
      <c r="AK22" s="2088"/>
      <c r="AL22" s="2088"/>
      <c r="AM22" s="2088"/>
      <c r="AN22" s="2088"/>
      <c r="AO22" s="2088"/>
      <c r="AP22" s="2088"/>
      <c r="AQ22" s="2088"/>
      <c r="AR22" s="2088"/>
      <c r="AS22" s="2088"/>
      <c r="AT22" s="2088"/>
      <c r="AU22" s="2088"/>
      <c r="AV22" s="2088"/>
      <c r="AW22" s="2088"/>
      <c r="AX22" s="2088"/>
      <c r="AY22" s="2088"/>
      <c r="AZ22" s="2088"/>
      <c r="BA22" s="2088"/>
      <c r="BB22" s="2088"/>
      <c r="BC22" s="2088"/>
      <c r="BD22" s="2088"/>
      <c r="BE22" s="2088"/>
      <c r="BF22" s="2088"/>
      <c r="BG22" s="2088"/>
      <c r="BH22" s="2088"/>
      <c r="BI22" s="2088"/>
      <c r="BJ22" s="2088"/>
      <c r="BK22" s="2088"/>
      <c r="BL22" s="2088"/>
      <c r="BM22" s="2088"/>
      <c r="BN22" s="2088"/>
      <c r="BO22" s="2088"/>
      <c r="BP22" s="2088"/>
      <c r="BQ22" s="2088"/>
      <c r="BR22" s="2088"/>
      <c r="BS22" s="2088"/>
      <c r="BT22" s="2089"/>
      <c r="BU22" s="2089"/>
      <c r="BV22" s="2089"/>
      <c r="BW22" s="2089"/>
      <c r="BX22" s="2089"/>
      <c r="BY22" s="2089"/>
      <c r="BZ22" s="2089"/>
      <c r="CA22" s="2089"/>
      <c r="CB22" s="2089"/>
      <c r="CC22" s="2089"/>
      <c r="CD22" s="2089"/>
      <c r="CE22" s="2089"/>
      <c r="CF22" s="2089"/>
      <c r="CG22" s="2089"/>
      <c r="CH22" s="2089"/>
      <c r="CI22" s="2089"/>
      <c r="CJ22" s="2089"/>
      <c r="CK22" s="2089"/>
      <c r="CL22" s="2088"/>
      <c r="CM22" s="2088"/>
      <c r="CN22" s="2088"/>
      <c r="CO22" s="2088"/>
      <c r="CP22" s="2088"/>
      <c r="CQ22" s="2088"/>
      <c r="CR22" s="2088"/>
      <c r="CS22" s="2088"/>
      <c r="CT22" s="2088"/>
      <c r="CU22" s="2088"/>
      <c r="CV22" s="2088"/>
      <c r="CW22" s="2088"/>
      <c r="CX22" s="2088"/>
      <c r="CY22" s="2089"/>
      <c r="CZ22" s="2089"/>
      <c r="DA22" s="2089"/>
      <c r="DB22" s="2089"/>
      <c r="DC22" s="2089"/>
      <c r="DD22" s="2089"/>
      <c r="DE22" s="2089"/>
      <c r="DF22" s="2089"/>
      <c r="DG22" s="2089"/>
      <c r="DH22" s="2089"/>
      <c r="DI22" s="2089"/>
      <c r="DJ22" s="2089"/>
      <c r="DK22" s="2088"/>
      <c r="DL22" s="2088"/>
      <c r="DM22" s="2088"/>
      <c r="DN22" s="2088"/>
      <c r="DO22" s="2088"/>
      <c r="DP22" s="2088"/>
      <c r="DQ22" s="2088"/>
      <c r="DR22" s="2088"/>
      <c r="DS22" s="2088"/>
      <c r="DT22" s="2088"/>
      <c r="DU22" s="2088"/>
      <c r="DV22" s="2088"/>
      <c r="DW22" s="2088"/>
      <c r="DX22" s="2088"/>
      <c r="DY22" s="2088"/>
      <c r="DZ22" s="2088"/>
      <c r="EA22" s="2088"/>
      <c r="EB22" s="2088"/>
      <c r="EC22" s="2088"/>
      <c r="ED22" s="2088"/>
      <c r="EE22" s="2088"/>
      <c r="EF22" s="2088"/>
      <c r="EG22" s="2088"/>
      <c r="EH22" s="2088"/>
      <c r="EI22" s="2088"/>
      <c r="EJ22" s="2088"/>
      <c r="EK22" s="2088"/>
      <c r="EL22" s="2088"/>
      <c r="EM22" s="2088"/>
      <c r="EN22" s="2088"/>
      <c r="EO22" s="2088"/>
      <c r="EP22" s="2088"/>
      <c r="EQ22" s="2088"/>
      <c r="ER22" s="2088"/>
      <c r="ES22" s="2088"/>
      <c r="ET22" s="2088"/>
      <c r="EU22" s="2088"/>
      <c r="EV22" s="2088"/>
      <c r="EW22" s="2088"/>
      <c r="EX22" s="2088"/>
      <c r="EY22" s="2088"/>
      <c r="EZ22" s="2088"/>
      <c r="FA22" s="2088"/>
      <c r="FB22" s="2088"/>
      <c r="FC22" s="2088"/>
      <c r="FD22" s="2088"/>
      <c r="FE22" s="2088"/>
      <c r="FF22" s="2088"/>
      <c r="FG22" s="2088"/>
      <c r="FH22" s="2088"/>
      <c r="FI22" s="2088"/>
      <c r="FJ22" s="2088"/>
      <c r="FK22" s="2088"/>
      <c r="FL22" s="2088"/>
      <c r="FM22" s="2088"/>
      <c r="FN22" s="2088"/>
      <c r="FO22" s="2088"/>
      <c r="FP22" s="2088"/>
      <c r="FQ22" s="2088"/>
      <c r="FR22" s="2088"/>
      <c r="FS22" s="2088"/>
      <c r="FT22" s="2088"/>
      <c r="FU22" s="2088"/>
      <c r="FV22" s="2088"/>
      <c r="FW22" s="2088"/>
      <c r="FX22" s="2083"/>
      <c r="FY22" s="2074"/>
      <c r="FZ22" s="2074"/>
      <c r="GA22" s="2074"/>
      <c r="GB22" s="2074"/>
    </row>
    <row r="23" spans="1:185" s="2351" customFormat="1" ht="12" customHeight="1">
      <c r="A23" s="2074" t="s">
        <v>1102</v>
      </c>
      <c r="B23" s="2073"/>
      <c r="C23" s="2074"/>
      <c r="D23" s="2074"/>
      <c r="E23" s="2074"/>
      <c r="F23" s="2090"/>
      <c r="G23" s="2091" t="s">
        <v>1272</v>
      </c>
      <c r="H23" s="2092"/>
      <c r="I23" s="2093"/>
      <c r="J23" s="2094"/>
      <c r="K23" s="2095"/>
      <c r="L23" s="2096"/>
      <c r="M23" s="2097"/>
      <c r="N23" s="2098"/>
      <c r="O23" s="2099"/>
      <c r="P23" s="2100"/>
      <c r="Q23" s="2101"/>
      <c r="R23" s="2102"/>
      <c r="S23" s="2103"/>
      <c r="T23" s="2104"/>
      <c r="U23" s="2105"/>
      <c r="V23" s="2106"/>
      <c r="W23" s="2107"/>
      <c r="X23" s="2108"/>
      <c r="Y23" s="2109"/>
      <c r="Z23" s="2110"/>
      <c r="AA23" s="2111"/>
      <c r="AB23" s="2112"/>
      <c r="AC23" s="2113"/>
      <c r="AD23" s="2114"/>
      <c r="AE23" s="2115"/>
      <c r="AF23" s="2116"/>
      <c r="AG23" s="2117"/>
      <c r="AH23" s="2118"/>
      <c r="AI23" s="2119"/>
      <c r="AJ23" s="2120"/>
      <c r="AK23" s="2121"/>
      <c r="AL23" s="2122"/>
      <c r="AM23" s="2123"/>
      <c r="AN23" s="2124"/>
      <c r="AO23" s="2125"/>
      <c r="AP23" s="2126"/>
      <c r="AQ23" s="2127"/>
      <c r="AR23" s="2128"/>
      <c r="AS23" s="2129"/>
      <c r="AT23" s="2130"/>
      <c r="AU23" s="2131"/>
      <c r="AV23" s="2132"/>
      <c r="AW23" s="2133"/>
      <c r="AX23" s="2134"/>
      <c r="AY23" s="2135"/>
      <c r="AZ23" s="2136"/>
      <c r="BA23" s="2137"/>
      <c r="BB23" s="2138"/>
      <c r="BC23" s="2139"/>
      <c r="BD23" s="2140"/>
      <c r="BE23" s="2141"/>
      <c r="BF23" s="2142"/>
      <c r="BG23" s="2143"/>
      <c r="BH23" s="2144"/>
      <c r="BI23" s="2145"/>
      <c r="BJ23" s="2146"/>
      <c r="BK23" s="2147"/>
      <c r="BL23" s="2148"/>
      <c r="BM23" s="2149"/>
      <c r="BN23" s="2150"/>
      <c r="BO23" s="2151"/>
      <c r="BP23" s="2152"/>
      <c r="BQ23" s="2153"/>
      <c r="BR23" s="2154"/>
      <c r="BS23" s="2155"/>
      <c r="BT23" s="2156"/>
      <c r="BU23" s="2157"/>
      <c r="BV23" s="2158"/>
      <c r="BW23" s="2159"/>
      <c r="BX23" s="2160"/>
      <c r="BY23" s="2161"/>
      <c r="BZ23" s="2162"/>
      <c r="CA23" s="2163"/>
      <c r="CB23" s="2164"/>
      <c r="CC23" s="2165"/>
      <c r="CD23" s="2166"/>
      <c r="CE23" s="2167"/>
      <c r="CF23" s="2168"/>
      <c r="CG23" s="2169"/>
      <c r="CH23" s="2170"/>
      <c r="CI23" s="2171"/>
      <c r="CJ23" s="2172"/>
      <c r="CK23" s="2173"/>
      <c r="CL23" s="2174"/>
      <c r="CM23" s="2175"/>
      <c r="CN23" s="2176"/>
      <c r="CO23" s="2177"/>
      <c r="CP23" s="2178"/>
      <c r="CQ23" s="2179"/>
      <c r="CR23" s="2180"/>
      <c r="CS23" s="2181"/>
      <c r="CT23" s="2182"/>
      <c r="CU23" s="2183"/>
      <c r="CV23" s="2184"/>
      <c r="CW23" s="2185"/>
      <c r="CX23" s="2186"/>
      <c r="CY23" s="2187"/>
      <c r="CZ23" s="2188"/>
      <c r="DA23" s="2189"/>
      <c r="DB23" s="2190"/>
      <c r="DC23" s="2191"/>
      <c r="DD23" s="2192"/>
      <c r="DE23" s="2193"/>
      <c r="DF23" s="2194"/>
      <c r="DG23" s="2195"/>
      <c r="DH23" s="2196"/>
      <c r="DI23" s="2197"/>
      <c r="DJ23" s="2198"/>
      <c r="DK23" s="2199"/>
      <c r="DL23" s="2200"/>
      <c r="DM23" s="2201"/>
      <c r="DN23" s="2202"/>
      <c r="DO23" s="2203"/>
      <c r="DP23" s="2204"/>
      <c r="DQ23" s="2205"/>
      <c r="DR23" s="2206"/>
      <c r="DS23" s="2207"/>
      <c r="DT23" s="2208"/>
      <c r="DU23" s="2209"/>
      <c r="DV23" s="2210"/>
      <c r="DW23" s="2211"/>
      <c r="DX23" s="2212"/>
      <c r="DY23" s="2213"/>
      <c r="DZ23" s="2214"/>
      <c r="EA23" s="2215"/>
      <c r="EB23" s="2216"/>
      <c r="EC23" s="2217"/>
      <c r="ED23" s="2218"/>
      <c r="EE23" s="2219"/>
      <c r="EF23" s="2220"/>
      <c r="EG23" s="2221"/>
      <c r="EH23" s="2222"/>
      <c r="EI23" s="2223"/>
      <c r="EJ23" s="2224"/>
      <c r="EK23" s="2225"/>
      <c r="EL23" s="2226"/>
      <c r="EM23" s="2227"/>
      <c r="EN23" s="2228"/>
      <c r="EO23" s="2229"/>
      <c r="EP23" s="2230"/>
      <c r="EQ23" s="2231"/>
      <c r="ER23" s="2232"/>
      <c r="ES23" s="2233"/>
      <c r="ET23" s="2234"/>
      <c r="EU23" s="2235"/>
      <c r="EV23" s="2236"/>
      <c r="EW23" s="2237"/>
      <c r="EX23" s="2238"/>
      <c r="EY23" s="2239"/>
      <c r="EZ23" s="2240"/>
      <c r="FA23" s="2241"/>
      <c r="FB23" s="2242"/>
      <c r="FC23" s="2243"/>
      <c r="FD23" s="2244"/>
      <c r="FE23" s="2245"/>
      <c r="FF23" s="2246"/>
      <c r="FG23" s="2247"/>
      <c r="FH23" s="2248"/>
      <c r="FI23" s="2249"/>
      <c r="FJ23" s="2250"/>
      <c r="FK23" s="2251"/>
      <c r="FL23" s="2252"/>
      <c r="FM23" s="2253"/>
      <c r="FN23" s="2254"/>
      <c r="FO23" s="2255"/>
      <c r="FP23" s="2256"/>
      <c r="FQ23" s="2257"/>
      <c r="FR23" s="2258"/>
      <c r="FS23" s="2259"/>
      <c r="FT23" s="2260"/>
      <c r="FU23" s="2261"/>
      <c r="FV23" s="2262"/>
      <c r="FW23" s="2263"/>
      <c r="FX23" s="2264"/>
      <c r="FY23" s="2265"/>
      <c r="FZ23" s="2265"/>
      <c r="GA23" s="2265"/>
      <c r="GB23" s="2265"/>
    </row>
    <row r="24" spans="1:185" s="2351"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351" customFormat="1" ht="12.75" customHeight="1">
      <c r="A25" s="866"/>
      <c r="B25" s="866"/>
      <c r="C25" s="866"/>
      <c r="D25" s="866"/>
      <c r="E25" s="866"/>
      <c r="FX25" s="866"/>
      <c r="FY25" s="866"/>
      <c r="FZ25" s="866"/>
      <c r="GA25" s="866"/>
      <c r="GB25" s="866"/>
      <c r="GC25" s="847">
        <v>12</v>
      </c>
    </row>
    <row r="26" spans="1:185" s="2354" customFormat="1" ht="12.75" customHeight="1">
      <c r="A26" s="983"/>
      <c r="B26" s="983"/>
      <c r="C26" s="983"/>
      <c r="D26" s="983"/>
      <c r="E26" s="983"/>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c r="AL26" s="985"/>
      <c r="AM26" s="985"/>
      <c r="AN26" s="985"/>
      <c r="AO26" s="985"/>
      <c r="AP26" s="985"/>
      <c r="AQ26" s="985"/>
      <c r="AR26" s="985"/>
      <c r="AS26" s="985"/>
      <c r="AT26" s="985"/>
      <c r="AU26" s="985"/>
      <c r="AV26" s="985"/>
      <c r="AW26" s="985"/>
      <c r="AX26" s="985"/>
      <c r="AY26" s="985"/>
      <c r="AZ26" s="985"/>
      <c r="BA26" s="985"/>
      <c r="BB26" s="985"/>
      <c r="BC26" s="985"/>
      <c r="BD26" s="985"/>
      <c r="BE26" s="985"/>
      <c r="BF26" s="985"/>
      <c r="BG26" s="985"/>
      <c r="BH26" s="985"/>
      <c r="BI26" s="985"/>
      <c r="BJ26" s="985"/>
      <c r="BK26" s="985"/>
      <c r="BL26" s="985"/>
      <c r="BM26" s="985"/>
      <c r="BN26" s="985"/>
      <c r="BO26" s="985"/>
      <c r="BP26" s="985"/>
      <c r="BQ26" s="985"/>
      <c r="BR26" s="985"/>
      <c r="BS26" s="985"/>
      <c r="BT26" s="986"/>
      <c r="BU26" s="986"/>
      <c r="BV26" s="986"/>
      <c r="BW26" s="986"/>
      <c r="BX26" s="986"/>
      <c r="BY26" s="986"/>
      <c r="BZ26" s="986"/>
      <c r="CA26" s="986"/>
      <c r="CB26" s="986"/>
      <c r="CC26" s="986"/>
      <c r="CD26" s="986"/>
      <c r="CE26" s="986"/>
      <c r="CF26" s="986"/>
      <c r="CG26" s="986"/>
      <c r="CH26" s="986"/>
      <c r="CI26" s="986"/>
      <c r="CJ26" s="986"/>
      <c r="CK26" s="986"/>
      <c r="CL26" s="986"/>
      <c r="CM26" s="986"/>
      <c r="CN26" s="986"/>
      <c r="CO26" s="986"/>
      <c r="CP26" s="986"/>
      <c r="CQ26" s="986"/>
      <c r="CR26" s="986"/>
      <c r="CS26" s="986"/>
      <c r="CT26" s="986"/>
      <c r="CU26" s="986"/>
      <c r="CV26" s="986"/>
      <c r="CW26" s="986"/>
      <c r="CX26" s="986"/>
      <c r="CY26" s="986"/>
      <c r="CZ26" s="986"/>
      <c r="DA26" s="986"/>
      <c r="DB26" s="986"/>
      <c r="DC26" s="986"/>
      <c r="DD26" s="986"/>
      <c r="DE26" s="986"/>
      <c r="DF26" s="986"/>
      <c r="DG26" s="986"/>
      <c r="DH26" s="986"/>
      <c r="DI26" s="986"/>
      <c r="DJ26" s="986"/>
      <c r="DK26" s="986"/>
      <c r="DL26" s="986"/>
      <c r="DM26" s="986"/>
      <c r="DN26" s="986"/>
      <c r="DO26" s="986"/>
      <c r="DP26" s="986"/>
      <c r="DQ26" s="986"/>
      <c r="DR26" s="986"/>
      <c r="DS26" s="986"/>
      <c r="DT26" s="986"/>
      <c r="DU26" s="986"/>
      <c r="DV26" s="986"/>
      <c r="DW26" s="986"/>
      <c r="DX26" s="986"/>
      <c r="FX26" s="983"/>
      <c r="FY26" s="983"/>
      <c r="FZ26" s="983"/>
      <c r="GA26" s="983"/>
      <c r="GB26" s="983"/>
      <c r="GC26" s="984">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82</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370" hidden="1" customWidth="1"/>
    <col min="2" max="2" width="9.140625" style="2360" hidden="1" customWidth="1"/>
    <col min="3" max="3" width="4" style="2356" customWidth="1"/>
    <col min="4" max="4" width="6" style="2360" customWidth="1"/>
    <col min="5" max="5" width="36" style="2360" customWidth="1"/>
    <col min="6" max="6" width="9" style="2360" customWidth="1"/>
    <col min="7" max="7" width="42.42578125" style="2360" hidden="1" customWidth="1"/>
    <col min="8" max="8" width="40.7109375" style="2360" customWidth="1"/>
    <col min="9" max="9" width="93" style="2357" customWidth="1"/>
    <col min="10" max="17" width="10" style="2360" customWidth="1"/>
    <col min="18" max="18" width="10" style="2363" customWidth="1"/>
    <col min="19" max="19" width="10.5703125" style="2360" hidden="1"/>
  </cols>
  <sheetData>
    <row r="1" spans="1:19" s="2357" customFormat="1" ht="15" hidden="1" customHeight="1">
      <c r="C1" s="608"/>
      <c r="H1" s="353">
        <v>4</v>
      </c>
      <c r="R1" s="356"/>
      <c r="S1" s="353" t="s">
        <v>14</v>
      </c>
    </row>
    <row r="2" spans="1:19" ht="22.5" hidden="1" customHeight="1">
      <c r="C2" s="1837" t="s">
        <v>568</v>
      </c>
      <c r="D2" s="475"/>
      <c r="E2" s="599"/>
      <c r="F2" s="1676" t="str">
        <f>IF(TEMPLATE_SPHERE="HEAT","Гкал/час","тыс. куб. м/сутки")</f>
        <v>Гкал/час</v>
      </c>
      <c r="G2" s="616"/>
      <c r="H2" s="616"/>
      <c r="I2" s="226"/>
      <c r="S2" s="441">
        <v>0</v>
      </c>
    </row>
    <row r="3" spans="1:19" s="2357" customFormat="1" ht="15" hidden="1" customHeight="1">
      <c r="C3" s="608"/>
      <c r="R3" s="356"/>
      <c r="S3" s="353">
        <v>0</v>
      </c>
    </row>
    <row r="4" spans="1:19" ht="15.75" customHeight="1">
      <c r="C4" s="113"/>
      <c r="D4" s="445"/>
      <c r="E4" s="445"/>
      <c r="F4" s="445"/>
      <c r="G4" s="445"/>
      <c r="H4" s="445"/>
      <c r="S4" s="441">
        <v>15</v>
      </c>
    </row>
    <row r="5" spans="1:19" ht="39.75" customHeight="1">
      <c r="C5" s="113"/>
      <c r="D5" s="25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44"/>
      <c r="F5" s="2544"/>
      <c r="G5" s="2544"/>
      <c r="H5" s="2544"/>
      <c r="I5" s="473"/>
      <c r="S5" s="441">
        <v>38</v>
      </c>
    </row>
    <row r="6" spans="1:19" ht="15.75" customHeight="1">
      <c r="C6" s="113"/>
      <c r="D6" s="2516" t="str">
        <f>IF(org=0,"Не определено",org)</f>
        <v>ООО "Пятигорсктеплосервис"</v>
      </c>
      <c r="E6" s="2516"/>
      <c r="F6" s="2516"/>
      <c r="G6" s="2516"/>
      <c r="H6" s="2516"/>
      <c r="I6" s="473"/>
      <c r="S6" s="441">
        <v>15</v>
      </c>
    </row>
    <row r="7" spans="1:19" s="236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658" t="s">
        <v>105</v>
      </c>
      <c r="F9" s="2659"/>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2435" t="s">
        <v>300</v>
      </c>
      <c r="S9" s="441">
        <v>15</v>
      </c>
    </row>
    <row r="10" spans="1:19" s="2360" customFormat="1" ht="15.75" customHeight="1">
      <c r="A10" s="693"/>
      <c r="C10" s="113"/>
      <c r="D10" s="647"/>
      <c r="E10" s="2658" t="s">
        <v>563</v>
      </c>
      <c r="F10" s="2659"/>
      <c r="G10" s="746" t="str">
        <f>IF(G8="","",INDEX(DIFFERENTIATION_UNMERGE_AREA,MATCH(G8,DIFFERENTIATION_ID_DIFF,0)))</f>
        <v/>
      </c>
      <c r="H10" s="746" t="str">
        <f>IF(H8="","",INDEX(DIFFERENTIATION_UNMERGE_AREA,MATCH(H8,DIFFERENTIATION_ID_DIFF,0)))</f>
        <v>без дифференциации</v>
      </c>
      <c r="I10" s="2435"/>
      <c r="R10" s="611"/>
      <c r="S10" s="692">
        <v>15</v>
      </c>
    </row>
    <row r="11" spans="1:19" s="2360" customFormat="1" ht="15.75" customHeight="1">
      <c r="A11" s="693"/>
      <c r="C11" s="113"/>
      <c r="D11" s="647"/>
      <c r="E11" s="2658" t="s">
        <v>564</v>
      </c>
      <c r="F11" s="2659"/>
      <c r="G11" s="746" t="str">
        <f>IF(G8="","",INDEX(DIFFERENTIATION_UNMERGE_SYSTEM,MATCH(G8,DIFFERENTIATION_ID_DIFF,0)))</f>
        <v/>
      </c>
      <c r="H11" s="746" t="str">
        <f>IF(H8="","",INDEX(DIFFERENTIATION_UNMERGE_SYSTEM,MATCH(H8,DIFFERENTIATION_ID_DIFF,0)))</f>
        <v>без дифференциации</v>
      </c>
      <c r="I11" s="2435"/>
      <c r="R11" s="611"/>
      <c r="S11" s="692">
        <v>15</v>
      </c>
    </row>
    <row r="12" spans="1:19" s="2360" customFormat="1" ht="15.75" customHeight="1">
      <c r="A12" s="693"/>
      <c r="C12" s="113"/>
      <c r="D12" s="2660" t="s">
        <v>299</v>
      </c>
      <c r="E12" s="2661"/>
      <c r="F12" s="2661"/>
      <c r="G12" s="812"/>
      <c r="H12" s="812"/>
      <c r="I12" s="2435"/>
      <c r="R12" s="611"/>
      <c r="S12" s="692">
        <v>15</v>
      </c>
    </row>
    <row r="13" spans="1:19" ht="35.65" customHeight="1">
      <c r="C13" s="113"/>
      <c r="D13" s="695" t="s">
        <v>88</v>
      </c>
      <c r="E13" s="694" t="s">
        <v>301</v>
      </c>
      <c r="F13" s="694" t="s">
        <v>565</v>
      </c>
      <c r="G13" s="738" t="s">
        <v>302</v>
      </c>
      <c r="H13" s="690" t="s">
        <v>302</v>
      </c>
      <c r="I13" s="2435"/>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39" t="str">
        <f>TP_P_A</f>
        <v>Количество поданных заявок</v>
      </c>
      <c r="F15" s="457" t="s">
        <v>1273</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39" t="str">
        <f>TP_P_B</f>
        <v>Количество рассмотренных заявок</v>
      </c>
      <c r="F16" s="457" t="s">
        <v>1273</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3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1273</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39"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39"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1274</v>
      </c>
      <c r="E20" s="624"/>
      <c r="F20" s="445"/>
      <c r="G20" s="445"/>
      <c r="H20" s="445"/>
      <c r="I20" s="1678"/>
      <c r="S20" s="441">
        <v>0</v>
      </c>
    </row>
    <row r="21" spans="1:19" ht="29.25" customHeight="1">
      <c r="C21" s="387"/>
      <c r="D21" s="475" t="s">
        <v>312</v>
      </c>
      <c r="E21" s="606"/>
      <c r="F21" s="1676" t="str">
        <f>IF(TEMPLATE_SPHERE="HEAT","Гкал/час","тыс. куб. м/сутки")</f>
        <v>Гкал/час</v>
      </c>
      <c r="G21" s="616"/>
      <c r="H21" s="616"/>
      <c r="I21" s="247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1275</v>
      </c>
      <c r="F22" s="508"/>
      <c r="G22" s="508"/>
      <c r="H22" s="508"/>
      <c r="I22" s="248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392" hidden="1" customWidth="1"/>
    <col min="2" max="2" width="9.140625" style="2357" hidden="1" customWidth="1"/>
    <col min="3" max="3" width="3" style="2359" customWidth="1"/>
    <col min="4" max="4" width="6" style="2360" customWidth="1"/>
    <col min="5" max="6" width="64" style="2360" customWidth="1"/>
    <col min="7" max="7" width="140" style="2360" customWidth="1"/>
    <col min="8" max="8" width="10" style="2360" customWidth="1"/>
    <col min="9" max="10" width="10" style="2358" customWidth="1"/>
    <col min="11" max="16" width="10" style="2360" customWidth="1"/>
    <col min="17" max="17" width="10.5703125" style="236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8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86"/>
      <c r="F5" s="2486"/>
      <c r="G5" s="2487"/>
      <c r="Q5" s="23">
        <v>28</v>
      </c>
    </row>
    <row r="6" spans="1:17" s="2360" customFormat="1" ht="18.75" customHeight="1">
      <c r="A6" s="807"/>
      <c r="B6" s="353"/>
      <c r="C6" s="312"/>
      <c r="D6" s="2538" t="str">
        <f>IF(org=0,"Не определено",org)</f>
        <v>ООО "Пятигорсктеплосервис"</v>
      </c>
      <c r="E6" s="2539"/>
      <c r="F6" s="2539"/>
      <c r="G6" s="2540"/>
      <c r="I6" s="436"/>
      <c r="J6" s="436"/>
      <c r="Q6" s="692">
        <v>18</v>
      </c>
    </row>
    <row r="7" spans="1:17" ht="14.65" customHeight="1">
      <c r="C7" s="36"/>
      <c r="D7" s="24"/>
      <c r="E7" s="35"/>
      <c r="F7" s="688"/>
      <c r="G7" s="130"/>
      <c r="Q7" s="23">
        <v>14</v>
      </c>
    </row>
    <row r="8" spans="1:17" s="2360" customFormat="1" ht="1.1499999999999999" customHeight="1">
      <c r="A8" s="1585"/>
      <c r="B8" s="1076"/>
      <c r="C8" s="312"/>
      <c r="D8" s="299"/>
      <c r="E8" s="325"/>
      <c r="F8" s="688"/>
      <c r="G8" s="130"/>
      <c r="I8" s="1540"/>
      <c r="J8" s="1540"/>
      <c r="Q8" s="1547">
        <v>1</v>
      </c>
    </row>
    <row r="9" spans="1:17" ht="14.65" customHeight="1">
      <c r="C9" s="36"/>
      <c r="D9" s="2524" t="s">
        <v>299</v>
      </c>
      <c r="E9" s="2524"/>
      <c r="F9" s="2524"/>
      <c r="G9" s="2665" t="s">
        <v>300</v>
      </c>
      <c r="Q9" s="23">
        <v>14</v>
      </c>
    </row>
    <row r="10" spans="1:17" ht="24" customHeight="1">
      <c r="C10" s="36"/>
      <c r="D10" s="45" t="s">
        <v>88</v>
      </c>
      <c r="E10" s="48" t="s">
        <v>301</v>
      </c>
      <c r="F10" s="48" t="s">
        <v>389</v>
      </c>
      <c r="G10" s="266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9"/>
      <c r="Q12" s="23">
        <v>62</v>
      </c>
    </row>
    <row r="13" spans="1:17" ht="24" customHeight="1">
      <c r="A13" s="129"/>
      <c r="C13" s="36"/>
      <c r="D13" s="85" t="s">
        <v>1179</v>
      </c>
      <c r="E13" s="131"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5" t="s">
        <v>305</v>
      </c>
      <c r="G13" s="89"/>
      <c r="Q13" s="23">
        <v>23</v>
      </c>
    </row>
    <row r="14" spans="1:17" ht="14.65" customHeight="1">
      <c r="A14" s="129"/>
      <c r="C14" s="36"/>
      <c r="D14" s="85" t="s">
        <v>1215</v>
      </c>
      <c r="E14" s="132"/>
      <c r="F14" s="150"/>
      <c r="G14" s="24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1276</v>
      </c>
      <c r="F15" s="138"/>
      <c r="G15" s="2481"/>
      <c r="Q15" s="23">
        <v>15</v>
      </c>
    </row>
    <row r="16" spans="1:17" ht="14.65" customHeight="1">
      <c r="A16" s="129"/>
      <c r="C16" s="36"/>
      <c r="D16" s="85" t="s">
        <v>1181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3">
        <v>14</v>
      </c>
    </row>
    <row r="17" spans="1:17" ht="14.65" customHeight="1">
      <c r="A17" s="129"/>
      <c r="C17" s="36"/>
      <c r="D17" s="85" t="s">
        <v>1223</v>
      </c>
      <c r="E17" s="132"/>
      <c r="F17" s="321"/>
      <c r="G17" s="24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360" customFormat="1" ht="21.95" customHeight="1">
      <c r="A18" s="280"/>
      <c r="B18" s="84"/>
      <c r="C18" s="244"/>
      <c r="D18" s="284"/>
      <c r="E18" s="285" t="s">
        <v>1277</v>
      </c>
      <c r="F18" s="275"/>
      <c r="G18" s="2481"/>
      <c r="I18" s="286"/>
      <c r="J18" s="286"/>
      <c r="Q18" s="279">
        <v>21</v>
      </c>
    </row>
    <row r="19" spans="1:17" s="2360" customFormat="1" ht="256.5" hidden="1" customHeight="1">
      <c r="A19" s="280"/>
      <c r="B19" s="353"/>
      <c r="C19" s="312"/>
      <c r="D19" s="809" t="s">
        <v>1183</v>
      </c>
      <c r="E19" s="808" t="s">
        <v>1278</v>
      </c>
      <c r="F19" s="321"/>
      <c r="G19" s="274" t="s">
        <v>1279</v>
      </c>
      <c r="I19" s="436"/>
      <c r="J19" s="436"/>
      <c r="Q19" s="692">
        <v>0</v>
      </c>
    </row>
    <row r="20" spans="1:17" s="2360" customFormat="1" ht="15" hidden="1" customHeight="1">
      <c r="A20" s="280"/>
      <c r="B20" s="84"/>
      <c r="C20" s="244"/>
      <c r="D20" s="810">
        <v>2</v>
      </c>
      <c r="E20" s="267" t="s">
        <v>1280</v>
      </c>
      <c r="F20" s="135" t="s">
        <v>305</v>
      </c>
      <c r="G20" s="274"/>
      <c r="I20" s="286"/>
      <c r="J20" s="286"/>
      <c r="Q20" s="279">
        <v>14</v>
      </c>
    </row>
    <row r="21" spans="1:17" s="2360" customFormat="1" ht="18.75" hidden="1" customHeight="1">
      <c r="A21" s="280"/>
      <c r="B21" s="84"/>
      <c r="C21" s="244"/>
      <c r="D21" s="270" t="s">
        <v>723</v>
      </c>
      <c r="E21" s="269"/>
      <c r="F21" s="268"/>
      <c r="G21" s="278"/>
      <c r="H21" s="271"/>
      <c r="I21" s="286"/>
      <c r="J21" s="286"/>
      <c r="Q21" s="279">
        <v>0</v>
      </c>
    </row>
    <row r="22" spans="1:17" ht="15.75" hidden="1" customHeight="1">
      <c r="A22" s="129"/>
      <c r="C22" s="36"/>
      <c r="D22" s="49"/>
      <c r="E22" s="140" t="s">
        <v>321</v>
      </c>
      <c r="F22" s="275"/>
      <c r="G22" s="276"/>
      <c r="Q22" s="23">
        <v>15</v>
      </c>
    </row>
    <row r="23" spans="1:17" s="2360" customFormat="1" ht="22.5" customHeight="1">
      <c r="A23" s="280"/>
      <c r="B23" s="1076"/>
      <c r="C23" s="312"/>
      <c r="D23" s="1589" t="s">
        <v>110</v>
      </c>
      <c r="E23" s="134" t="s">
        <v>1281</v>
      </c>
      <c r="F23" s="1586" t="s">
        <v>305</v>
      </c>
      <c r="G23" s="282"/>
      <c r="I23" s="1540"/>
      <c r="J23" s="1540"/>
      <c r="Q23" s="1547">
        <v>0</v>
      </c>
    </row>
    <row r="24" spans="1:17" s="2360" customFormat="1" ht="14.25" customHeight="1">
      <c r="A24" s="280"/>
      <c r="B24" s="1076"/>
      <c r="C24" s="312"/>
      <c r="D24" s="1589" t="s">
        <v>795</v>
      </c>
      <c r="E24" s="1588" t="s">
        <v>1282</v>
      </c>
      <c r="F24" s="1586" t="s">
        <v>305</v>
      </c>
      <c r="G24" s="274"/>
      <c r="I24" s="1540"/>
      <c r="J24" s="1540"/>
      <c r="Q24" s="1547">
        <v>0</v>
      </c>
    </row>
    <row r="25" spans="1:17" s="2360" customFormat="1" ht="14.25" customHeight="1">
      <c r="A25" s="280"/>
      <c r="B25" s="1076"/>
      <c r="C25" s="312"/>
      <c r="D25" s="1589" t="s">
        <v>798</v>
      </c>
      <c r="E25" s="2301"/>
      <c r="F25" s="2302"/>
      <c r="G25" s="2479" t="s">
        <v>1283</v>
      </c>
      <c r="I25" s="1540"/>
      <c r="J25" s="1540"/>
      <c r="Q25" s="1547">
        <v>0</v>
      </c>
    </row>
    <row r="26" spans="1:17" s="2360" customFormat="1" ht="22.5" customHeight="1">
      <c r="A26" s="280"/>
      <c r="B26" s="1076"/>
      <c r="C26" s="312"/>
      <c r="D26" s="284"/>
      <c r="E26" s="285" t="s">
        <v>1284</v>
      </c>
      <c r="F26" s="275"/>
      <c r="G26" s="2481"/>
      <c r="I26" s="1540"/>
      <c r="J26" s="1540"/>
      <c r="Q26" s="1547">
        <v>0</v>
      </c>
    </row>
    <row r="27" spans="1:17" s="2360" customFormat="1" ht="22.5" customHeight="1">
      <c r="A27" s="2303"/>
      <c r="B27" s="2282"/>
      <c r="C27" s="2304"/>
      <c r="D27" s="2305" t="s">
        <v>90</v>
      </c>
      <c r="E27" s="2306" t="s">
        <v>1285</v>
      </c>
      <c r="F27" s="2307" t="s">
        <v>305</v>
      </c>
      <c r="G27" s="2289"/>
      <c r="H27" s="2293"/>
      <c r="I27" s="2308"/>
      <c r="J27" s="2308"/>
      <c r="K27" s="2293"/>
      <c r="L27" s="2293"/>
      <c r="M27" s="2293"/>
      <c r="N27" s="2293"/>
      <c r="O27" s="2293"/>
      <c r="P27" s="2293"/>
      <c r="Q27" s="2293">
        <v>0</v>
      </c>
    </row>
    <row r="28" spans="1:17" s="2360" customFormat="1" ht="14.25" customHeight="1">
      <c r="A28" s="2303"/>
      <c r="B28" s="2282"/>
      <c r="C28" s="2304"/>
      <c r="D28" s="2305" t="s">
        <v>323</v>
      </c>
      <c r="E28" s="2309" t="s">
        <v>1286</v>
      </c>
      <c r="F28" s="2307" t="s">
        <v>305</v>
      </c>
      <c r="G28" s="2310"/>
      <c r="H28" s="2293"/>
      <c r="I28" s="2308"/>
      <c r="J28" s="2308"/>
      <c r="K28" s="2293"/>
      <c r="L28" s="2293"/>
      <c r="M28" s="2293"/>
      <c r="N28" s="2293"/>
      <c r="O28" s="2293"/>
      <c r="P28" s="2293"/>
      <c r="Q28" s="2293">
        <v>0</v>
      </c>
    </row>
    <row r="29" spans="1:17" s="2360" customFormat="1" ht="14.25" customHeight="1">
      <c r="A29" s="2303"/>
      <c r="B29" s="2282"/>
      <c r="C29" s="2304"/>
      <c r="D29" s="2305" t="s">
        <v>325</v>
      </c>
      <c r="E29" s="2311" t="s">
        <v>22</v>
      </c>
      <c r="F29" s="2312" t="s">
        <v>22</v>
      </c>
      <c r="G29" s="2479" t="s">
        <v>1287</v>
      </c>
      <c r="H29" s="2293"/>
      <c r="I29" s="2308"/>
      <c r="J29" s="2308"/>
      <c r="K29" s="2293"/>
      <c r="L29" s="2293"/>
      <c r="M29" s="2293"/>
      <c r="N29" s="2293"/>
      <c r="O29" s="2293"/>
      <c r="P29" s="2293"/>
      <c r="Q29" s="2293">
        <v>0</v>
      </c>
    </row>
    <row r="30" spans="1:17" s="2360" customFormat="1" ht="22.5" customHeight="1">
      <c r="A30" s="2303"/>
      <c r="B30" s="2282"/>
      <c r="C30" s="2304"/>
      <c r="D30" s="2313"/>
      <c r="E30" s="2314" t="s">
        <v>1284</v>
      </c>
      <c r="F30" s="2315"/>
      <c r="G30" s="2481"/>
      <c r="H30" s="2293"/>
      <c r="I30" s="2308"/>
      <c r="J30" s="2308"/>
      <c r="K30" s="2293"/>
      <c r="L30" s="2293"/>
      <c r="M30" s="2293"/>
      <c r="N30" s="2293"/>
      <c r="O30" s="2293"/>
      <c r="P30" s="2293"/>
      <c r="Q30" s="2293">
        <v>0</v>
      </c>
    </row>
    <row r="31" spans="1:17" ht="3" customHeight="1">
      <c r="Q31" s="23">
        <v>3</v>
      </c>
    </row>
    <row r="32" spans="1:17" ht="14.65" customHeight="1">
      <c r="D32" s="273"/>
      <c r="E32" s="272"/>
      <c r="F32" s="252"/>
      <c r="G32" s="252"/>
      <c r="H32" s="252"/>
      <c r="I32" s="252"/>
      <c r="J32" s="252"/>
      <c r="K32" s="252"/>
      <c r="L32" s="252"/>
      <c r="M32" s="252"/>
      <c r="N32" s="252"/>
      <c r="O32" s="252"/>
      <c r="P32" s="252"/>
      <c r="Q32" s="23">
        <v>14</v>
      </c>
    </row>
    <row r="33" spans="1:17" ht="14.65" customHeight="1">
      <c r="D33" s="273"/>
      <c r="E33" s="518"/>
      <c r="Q33" s="23">
        <v>14</v>
      </c>
    </row>
    <row r="34" spans="1:17" ht="14.65" customHeight="1">
      <c r="Q34" s="23">
        <v>14</v>
      </c>
    </row>
    <row r="35" spans="1:17" ht="14.65" customHeight="1">
      <c r="E35" s="692"/>
      <c r="Q35" s="23">
        <v>14</v>
      </c>
    </row>
    <row r="36" spans="1:17" ht="22.5" hidden="1" customHeight="1">
      <c r="A36" s="41" t="s">
        <v>82</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336" hidden="1" customWidth="1"/>
    <col min="2" max="2" width="9.140625" style="2357" hidden="1" customWidth="1"/>
    <col min="3" max="3" width="3" style="2359" customWidth="1"/>
    <col min="4" max="4" width="6" style="2360" customWidth="1"/>
    <col min="5" max="5" width="63" style="2360" customWidth="1"/>
    <col min="6" max="6" width="1.7109375" style="2360" hidden="1" customWidth="1"/>
    <col min="7" max="8" width="35" style="2360" customWidth="1"/>
    <col min="9" max="9" width="91" style="2360" customWidth="1"/>
    <col min="10" max="10" width="68" style="2360" customWidth="1"/>
    <col min="11" max="12" width="10" style="2358" customWidth="1"/>
    <col min="13" max="13" width="10.5703125" style="2360" hidden="1"/>
  </cols>
  <sheetData>
    <row r="1" spans="1:13" ht="22.5" hidden="1" customHeight="1">
      <c r="M1" s="23" t="s">
        <v>14</v>
      </c>
    </row>
    <row r="2" spans="1:13" s="2360" customFormat="1" ht="18.75" hidden="1" customHeight="1">
      <c r="A2" s="1599"/>
      <c r="B2" s="1076"/>
      <c r="C2" s="1645" t="s">
        <v>568</v>
      </c>
      <c r="D2" s="1589"/>
      <c r="E2" s="136"/>
      <c r="F2" s="1586"/>
      <c r="G2" s="1586" t="s">
        <v>305</v>
      </c>
      <c r="H2" s="1077"/>
      <c r="K2" s="1540"/>
      <c r="L2" s="1540"/>
      <c r="M2" s="1547">
        <v>0</v>
      </c>
    </row>
    <row r="3" spans="1:13" s="2360" customFormat="1" ht="14.25" hidden="1" customHeight="1">
      <c r="A3" s="1278"/>
      <c r="B3" s="1076"/>
      <c r="C3" s="281"/>
      <c r="K3" s="1540"/>
      <c r="L3" s="1540"/>
      <c r="M3" s="1547">
        <v>0</v>
      </c>
    </row>
    <row r="4" spans="1:13" s="2360" customFormat="1" ht="18.75" hidden="1" customHeight="1">
      <c r="A4" s="1599"/>
      <c r="B4" s="1076"/>
      <c r="C4" s="1645" t="s">
        <v>568</v>
      </c>
      <c r="D4" s="1589"/>
      <c r="E4" s="142" t="s">
        <v>1288</v>
      </c>
      <c r="F4" s="1586"/>
      <c r="G4" s="194"/>
      <c r="H4" s="1586" t="s">
        <v>305</v>
      </c>
      <c r="K4" s="1540"/>
      <c r="L4" s="1540"/>
      <c r="M4" s="1547">
        <v>0</v>
      </c>
    </row>
    <row r="5" spans="1:13" s="2360" customFormat="1" ht="14.25" hidden="1" customHeight="1">
      <c r="A5" s="1278"/>
      <c r="B5" s="1076"/>
      <c r="C5" s="281"/>
      <c r="K5" s="1540"/>
      <c r="L5" s="1540"/>
      <c r="M5" s="1547">
        <v>0</v>
      </c>
    </row>
    <row r="6" spans="1:13" s="2360" customFormat="1" ht="18.75" hidden="1" customHeight="1">
      <c r="A6" s="1599"/>
      <c r="B6" s="1076"/>
      <c r="C6" s="1645" t="s">
        <v>568</v>
      </c>
      <c r="D6" s="1589"/>
      <c r="E6" s="143" t="s">
        <v>1289</v>
      </c>
      <c r="F6" s="1586"/>
      <c r="G6" s="194"/>
      <c r="H6" s="1586" t="s">
        <v>305</v>
      </c>
      <c r="K6" s="1540"/>
      <c r="L6" s="1540"/>
      <c r="M6" s="1547">
        <v>0</v>
      </c>
    </row>
    <row r="7" spans="1:13" s="2360" customFormat="1" ht="14.25" hidden="1" customHeight="1">
      <c r="A7" s="1278"/>
      <c r="B7" s="1076"/>
      <c r="C7" s="281"/>
      <c r="K7" s="1540"/>
      <c r="L7" s="1540"/>
      <c r="M7" s="1547">
        <v>0</v>
      </c>
    </row>
    <row r="8" spans="1:13" s="2360" customFormat="1" ht="18.75" hidden="1" customHeight="1">
      <c r="A8" s="1599"/>
      <c r="B8" s="1076"/>
      <c r="C8" s="1645" t="s">
        <v>568</v>
      </c>
      <c r="D8" s="1589"/>
      <c r="E8" s="143" t="s">
        <v>1290</v>
      </c>
      <c r="F8" s="1586"/>
      <c r="G8" s="194"/>
      <c r="H8" s="1586" t="s">
        <v>305</v>
      </c>
      <c r="K8" s="1540"/>
      <c r="L8" s="1540"/>
      <c r="M8" s="1547">
        <v>0</v>
      </c>
    </row>
    <row r="9" spans="1:13" s="2360" customFormat="1" ht="14.25" hidden="1" customHeight="1">
      <c r="A9" s="1278"/>
      <c r="B9" s="1076"/>
      <c r="C9" s="281"/>
      <c r="K9" s="1540"/>
      <c r="L9" s="1540"/>
      <c r="M9" s="1547">
        <v>0</v>
      </c>
    </row>
    <row r="10" spans="1:13" s="2360" customFormat="1" ht="18.75" hidden="1" customHeight="1">
      <c r="A10" s="1599"/>
      <c r="B10" s="1076"/>
      <c r="C10" s="1645" t="s">
        <v>568</v>
      </c>
      <c r="D10" s="1589"/>
      <c r="E10" s="143" t="s">
        <v>1291</v>
      </c>
      <c r="F10" s="1586"/>
      <c r="G10" s="1590"/>
      <c r="H10" s="1586" t="s">
        <v>305</v>
      </c>
      <c r="K10" s="1540"/>
      <c r="L10" s="1540" t="s">
        <v>1292</v>
      </c>
      <c r="M10" s="154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8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86"/>
      <c r="F14" s="2486"/>
      <c r="G14" s="2486"/>
      <c r="H14" s="2487"/>
      <c r="J14" s="1547"/>
      <c r="M14" s="23">
        <v>28</v>
      </c>
    </row>
    <row r="15" spans="1:13" s="2360" customFormat="1" ht="14.65" customHeight="1">
      <c r="A15" s="1278"/>
      <c r="B15" s="1076"/>
      <c r="C15" s="312"/>
      <c r="D15" s="2538" t="str">
        <f>IF(org=0,"Не определено",org)</f>
        <v>ООО "Пятигорсктеплосервис"</v>
      </c>
      <c r="E15" s="2539"/>
      <c r="F15" s="2539"/>
      <c r="G15" s="2539"/>
      <c r="H15" s="2540"/>
      <c r="J15" s="778"/>
      <c r="K15" s="1540"/>
      <c r="L15" s="1540"/>
      <c r="M15" s="1547">
        <v>14</v>
      </c>
    </row>
    <row r="16" spans="1:13" ht="14.65" customHeight="1">
      <c r="C16" s="36"/>
      <c r="D16" s="24"/>
      <c r="E16" s="35"/>
      <c r="F16" s="35"/>
      <c r="G16" s="35"/>
      <c r="H16" s="688"/>
      <c r="I16" s="130"/>
      <c r="M16" s="23">
        <v>14</v>
      </c>
    </row>
    <row r="17" spans="1:13" s="2360" customFormat="1" ht="14.25" hidden="1" customHeight="1">
      <c r="A17" s="1278"/>
      <c r="B17" s="1076"/>
      <c r="C17" s="312"/>
      <c r="D17" s="299"/>
      <c r="E17" s="325"/>
      <c r="F17" s="325"/>
      <c r="G17" s="325"/>
      <c r="H17" s="688"/>
      <c r="I17" s="130"/>
      <c r="K17" s="1540"/>
      <c r="L17" s="1540"/>
      <c r="M17" s="1547">
        <v>0</v>
      </c>
    </row>
    <row r="18" spans="1:13" ht="21.95" customHeight="1">
      <c r="C18" s="36"/>
      <c r="D18" s="2524" t="s">
        <v>299</v>
      </c>
      <c r="E18" s="2524"/>
      <c r="F18" s="2524"/>
      <c r="G18" s="2524"/>
      <c r="H18" s="2524"/>
      <c r="I18" s="2665" t="s">
        <v>300</v>
      </c>
      <c r="M18" s="23">
        <v>21</v>
      </c>
    </row>
    <row r="19" spans="1:13" ht="21.95" customHeight="1">
      <c r="C19" s="36"/>
      <c r="D19" s="45" t="s">
        <v>88</v>
      </c>
      <c r="E19" s="48" t="s">
        <v>301</v>
      </c>
      <c r="F19" s="48"/>
      <c r="G19" s="48" t="s">
        <v>302</v>
      </c>
      <c r="H19" s="48" t="s">
        <v>389</v>
      </c>
      <c r="I19" s="2665"/>
      <c r="M19" s="23">
        <v>21</v>
      </c>
    </row>
    <row r="20" spans="1:13" ht="12" hidden="1" customHeight="1">
      <c r="C20" s="36"/>
      <c r="D20" s="27"/>
      <c r="E20" s="27"/>
      <c r="F20" s="27"/>
      <c r="G20" s="27"/>
      <c r="H20" s="27"/>
      <c r="I20" s="27"/>
      <c r="M20" s="23">
        <v>0</v>
      </c>
    </row>
    <row r="21" spans="1:13" ht="14.65" customHeight="1">
      <c r="A21" s="1599"/>
      <c r="C21" s="36"/>
      <c r="D21" s="85">
        <v>1</v>
      </c>
      <c r="E21" s="2760" t="s">
        <v>1293</v>
      </c>
      <c r="F21" s="2760"/>
      <c r="G21" s="2760"/>
      <c r="H21" s="2760"/>
      <c r="I21" s="145"/>
      <c r="M21" s="23">
        <v>14</v>
      </c>
    </row>
    <row r="22" spans="1:13" ht="21" customHeight="1">
      <c r="A22" s="1599"/>
      <c r="C22" s="36"/>
      <c r="D22" s="85" t="s">
        <v>1179</v>
      </c>
      <c r="E22" s="131" t="s">
        <v>1294</v>
      </c>
      <c r="F22" s="135"/>
      <c r="G22" s="1652"/>
      <c r="H22" s="135" t="s">
        <v>305</v>
      </c>
      <c r="I22" s="89" t="s">
        <v>1295</v>
      </c>
      <c r="M22" s="23">
        <v>20</v>
      </c>
    </row>
    <row r="23" spans="1:13" ht="60" customHeight="1">
      <c r="A23" s="1599"/>
      <c r="C23" s="36"/>
      <c r="D23" s="85" t="s">
        <v>1181</v>
      </c>
      <c r="E23" s="131" t="s">
        <v>1296</v>
      </c>
      <c r="F23" s="135"/>
      <c r="G23" s="194"/>
      <c r="H23" s="150"/>
      <c r="I23" s="195" t="s">
        <v>1297</v>
      </c>
      <c r="M23" s="23">
        <v>57</v>
      </c>
    </row>
    <row r="24" spans="1:13" ht="14.65" customHeight="1">
      <c r="A24" s="159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718</v>
      </c>
      <c r="M24" s="23">
        <v>14</v>
      </c>
    </row>
    <row r="25" spans="1:13" ht="48.2" customHeight="1">
      <c r="A25" s="1599"/>
      <c r="C25" s="36"/>
      <c r="D25" s="85">
        <v>3</v>
      </c>
      <c r="E25" s="276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60"/>
      <c r="G25" s="2760"/>
      <c r="H25" s="2760"/>
      <c r="I25" s="193"/>
      <c r="M25" s="23">
        <v>46</v>
      </c>
    </row>
    <row r="26" spans="1:13" ht="14.65" customHeight="1">
      <c r="A26" s="1599"/>
      <c r="C26" s="36"/>
      <c r="D26" s="85" t="s">
        <v>323</v>
      </c>
      <c r="E26" s="136"/>
      <c r="F26" s="135"/>
      <c r="G26" s="135" t="s">
        <v>305</v>
      </c>
      <c r="H26" s="150"/>
      <c r="I26" s="2479" t="s">
        <v>1298</v>
      </c>
      <c r="M26" s="23">
        <v>14</v>
      </c>
    </row>
    <row r="27" spans="1:13" ht="15.75" customHeight="1">
      <c r="A27" s="1599" t="s">
        <v>109</v>
      </c>
      <c r="C27" s="36"/>
      <c r="D27" s="49"/>
      <c r="E27" s="140" t="s">
        <v>321</v>
      </c>
      <c r="F27" s="141"/>
      <c r="G27" s="141"/>
      <c r="H27" s="138"/>
      <c r="I27" s="2481"/>
      <c r="M27" s="23">
        <v>15</v>
      </c>
    </row>
    <row r="28" spans="1:13" ht="39.75" customHeight="1">
      <c r="A28" s="1599"/>
      <c r="B28" s="84">
        <v>3</v>
      </c>
      <c r="C28" s="36"/>
      <c r="D28" s="85">
        <v>4</v>
      </c>
      <c r="E28" s="276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60"/>
      <c r="G28" s="2760"/>
      <c r="H28" s="2760"/>
      <c r="I28" s="193"/>
      <c r="M28" s="23">
        <v>38</v>
      </c>
    </row>
    <row r="29" spans="1:13" ht="21" customHeight="1">
      <c r="A29" s="1599"/>
      <c r="C29" s="36"/>
      <c r="D29" s="85" t="s">
        <v>846</v>
      </c>
      <c r="E29" s="142" t="s">
        <v>1288</v>
      </c>
      <c r="F29" s="135"/>
      <c r="G29" s="194"/>
      <c r="H29" s="135" t="s">
        <v>305</v>
      </c>
      <c r="I29" s="2479" t="s">
        <v>1299</v>
      </c>
      <c r="M29" s="23">
        <v>20</v>
      </c>
    </row>
    <row r="30" spans="1:13" ht="15.75" customHeight="1">
      <c r="A30" s="1599" t="s">
        <v>110</v>
      </c>
      <c r="C30" s="36"/>
      <c r="D30" s="49"/>
      <c r="E30" s="140" t="s">
        <v>321</v>
      </c>
      <c r="F30" s="141"/>
      <c r="G30" s="141"/>
      <c r="H30" s="138"/>
      <c r="I30" s="2481"/>
      <c r="M30" s="23">
        <v>15</v>
      </c>
    </row>
    <row r="31" spans="1:13" ht="31.5" customHeight="1">
      <c r="A31" s="1599"/>
      <c r="B31" s="84">
        <v>3</v>
      </c>
      <c r="C31" s="36"/>
      <c r="D31" s="85">
        <v>5</v>
      </c>
      <c r="E31" s="276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60"/>
      <c r="G31" s="2760"/>
      <c r="H31" s="2760"/>
      <c r="I31" s="193"/>
      <c r="M31" s="23">
        <v>30</v>
      </c>
    </row>
    <row r="32" spans="1:13" ht="27.4" customHeight="1">
      <c r="A32" s="1599"/>
      <c r="C32" s="36"/>
      <c r="D32" s="85" t="s">
        <v>312</v>
      </c>
      <c r="E32" s="267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79"/>
      <c r="G32" s="2679"/>
      <c r="H32" s="2679"/>
      <c r="I32" s="193"/>
      <c r="M32" s="23">
        <v>26</v>
      </c>
    </row>
    <row r="33" spans="1:13" ht="14.65" customHeight="1">
      <c r="A33" s="1599"/>
      <c r="C33" s="36"/>
      <c r="D33" s="85" t="s">
        <v>1300</v>
      </c>
      <c r="E33" s="143" t="s">
        <v>1289</v>
      </c>
      <c r="F33" s="135"/>
      <c r="G33" s="194"/>
      <c r="H33" s="135" t="s">
        <v>305</v>
      </c>
      <c r="I33" s="2479" t="s">
        <v>1301</v>
      </c>
      <c r="M33" s="23">
        <v>14</v>
      </c>
    </row>
    <row r="34" spans="1:13" ht="15.75" customHeight="1">
      <c r="A34" s="1599" t="s">
        <v>90</v>
      </c>
      <c r="C34" s="36"/>
      <c r="D34" s="49"/>
      <c r="E34" s="141" t="s">
        <v>321</v>
      </c>
      <c r="F34" s="137"/>
      <c r="G34" s="137"/>
      <c r="H34" s="138"/>
      <c r="I34" s="2481"/>
      <c r="M34" s="23">
        <v>15</v>
      </c>
    </row>
    <row r="35" spans="1:13" ht="25.15" customHeight="1">
      <c r="A35" s="1599"/>
      <c r="C35" s="36"/>
      <c r="D35" s="85" t="s">
        <v>989</v>
      </c>
      <c r="E35" s="267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79"/>
      <c r="G35" s="2679"/>
      <c r="H35" s="2679"/>
      <c r="I35" s="193"/>
      <c r="M35" s="23">
        <v>24</v>
      </c>
    </row>
    <row r="36" spans="1:13" ht="14.65" customHeight="1">
      <c r="A36" s="1599"/>
      <c r="C36" s="36"/>
      <c r="D36" s="85" t="s">
        <v>1302</v>
      </c>
      <c r="E36" s="143" t="s">
        <v>1290</v>
      </c>
      <c r="F36" s="135"/>
      <c r="G36" s="194"/>
      <c r="H36" s="135" t="s">
        <v>305</v>
      </c>
      <c r="I36" s="2457" t="s">
        <v>1303</v>
      </c>
      <c r="M36" s="23">
        <v>14</v>
      </c>
    </row>
    <row r="37" spans="1:13" ht="15.75" customHeight="1">
      <c r="A37" s="1599" t="s">
        <v>91</v>
      </c>
      <c r="C37" s="36"/>
      <c r="D37" s="49"/>
      <c r="E37" s="141" t="s">
        <v>321</v>
      </c>
      <c r="F37" s="137"/>
      <c r="G37" s="137"/>
      <c r="H37" s="138"/>
      <c r="I37" s="2457"/>
      <c r="M37" s="23">
        <v>15</v>
      </c>
    </row>
    <row r="38" spans="1:13" ht="27.4" customHeight="1">
      <c r="A38" s="1599"/>
      <c r="C38" s="36"/>
      <c r="D38" s="85" t="s">
        <v>990</v>
      </c>
      <c r="E38" s="267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79"/>
      <c r="G38" s="2679"/>
      <c r="H38" s="2679"/>
      <c r="I38" s="193"/>
      <c r="M38" s="23">
        <v>26</v>
      </c>
    </row>
    <row r="39" spans="1:13" ht="14.65" customHeight="1">
      <c r="A39" s="1599"/>
      <c r="C39" s="36"/>
      <c r="D39" s="85" t="s">
        <v>991</v>
      </c>
      <c r="E39" s="143" t="s">
        <v>1291</v>
      </c>
      <c r="F39" s="135"/>
      <c r="G39" s="144"/>
      <c r="H39" s="135" t="s">
        <v>305</v>
      </c>
      <c r="I39" s="2479" t="s">
        <v>1304</v>
      </c>
      <c r="L39" s="93" t="s">
        <v>1292</v>
      </c>
      <c r="M39" s="23">
        <v>14</v>
      </c>
    </row>
    <row r="40" spans="1:13" ht="15.75" customHeight="1">
      <c r="A40" s="1599" t="s">
        <v>111</v>
      </c>
      <c r="C40" s="36"/>
      <c r="D40" s="49"/>
      <c r="E40" s="141" t="s">
        <v>321</v>
      </c>
      <c r="F40" s="137"/>
      <c r="G40" s="137"/>
      <c r="H40" s="138"/>
      <c r="I40" s="2481"/>
      <c r="M40" s="23">
        <v>15</v>
      </c>
    </row>
    <row r="41" spans="1:13" s="2376" customFormat="1" ht="3" customHeight="1">
      <c r="A41" s="1599"/>
      <c r="K41" s="133"/>
      <c r="L41" s="133"/>
      <c r="M41" s="79">
        <v>3</v>
      </c>
    </row>
    <row r="42" spans="1:13" ht="26.25" customHeight="1">
      <c r="D42" s="1597" t="s">
        <v>909</v>
      </c>
      <c r="E42" s="256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62"/>
      <c r="G42" s="2562"/>
      <c r="H42" s="2562"/>
      <c r="I42" s="2562"/>
      <c r="M42" s="23">
        <v>25</v>
      </c>
    </row>
    <row r="43" spans="1:13" ht="22.5" hidden="1" customHeight="1">
      <c r="A43" s="1278"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361" hidden="1" customWidth="1"/>
    <col min="3" max="3" width="9.140625" style="2362" hidden="1" customWidth="1"/>
    <col min="4" max="4" width="3" style="2359" customWidth="1"/>
    <col min="5" max="5" width="6" style="2360" customWidth="1"/>
    <col min="6" max="6" width="46.7109375" style="2360" customWidth="1"/>
    <col min="7" max="7" width="35" style="2360" customWidth="1"/>
    <col min="8" max="8" width="3" style="2360" customWidth="1"/>
    <col min="9" max="10" width="11" style="2360" customWidth="1"/>
    <col min="11" max="12" width="35" style="2360" customWidth="1"/>
    <col min="13" max="13" width="84" style="2360" customWidth="1"/>
    <col min="14" max="14" width="10" style="2360" customWidth="1"/>
    <col min="15" max="16" width="10" style="2358" customWidth="1"/>
    <col min="17" max="33" width="10" style="2360" customWidth="1"/>
    <col min="34" max="34" width="10.5703125" style="2360" hidden="1"/>
  </cols>
  <sheetData>
    <row r="1" spans="1:34" s="2360" customFormat="1" ht="22.5" hidden="1" customHeight="1">
      <c r="A1" s="1693"/>
      <c r="B1" s="1693"/>
      <c r="C1" s="305"/>
      <c r="D1" s="281"/>
      <c r="N1" s="1552">
        <f>IFERROR(MATCH("метод экономически обоснованных расходов (затрат)",OFFER_METHOD,0),0)</f>
        <v>0</v>
      </c>
      <c r="O1" s="1540"/>
      <c r="P1" s="1540"/>
      <c r="T1" s="761"/>
      <c r="AG1" s="192"/>
      <c r="AH1" s="1547" t="s">
        <v>14</v>
      </c>
    </row>
    <row r="2" spans="1:34" s="2360" customFormat="1" ht="18.75" hidden="1" customHeight="1">
      <c r="A2" s="1694" t="s">
        <v>156</v>
      </c>
      <c r="B2" s="1694" t="s">
        <v>157</v>
      </c>
      <c r="C2" s="305"/>
      <c r="D2" s="281"/>
      <c r="E2" s="953"/>
      <c r="F2" s="953"/>
      <c r="G2" s="2737" t="str">
        <f>INDEX(PT_DIFFERENTIATION_NTAR,MATCH(B2,PT_DIFFERENTIATION_NTAR_ID,0))</f>
        <v/>
      </c>
      <c r="H2" s="1776"/>
      <c r="I2" s="1654"/>
      <c r="J2" s="1688"/>
      <c r="K2" s="1777"/>
      <c r="L2" s="1776" t="s">
        <v>305</v>
      </c>
      <c r="M2" s="1787"/>
      <c r="N2" s="271"/>
      <c r="O2" s="1540"/>
      <c r="P2" s="1540"/>
      <c r="AH2" s="1547">
        <v>0</v>
      </c>
    </row>
    <row r="3" spans="1:34" s="2360" customFormat="1" ht="18.75" hidden="1" customHeight="1">
      <c r="A3" s="1694"/>
      <c r="B3" s="1694"/>
      <c r="C3" s="305" t="s">
        <v>1305</v>
      </c>
      <c r="D3" s="281"/>
      <c r="E3" s="953"/>
      <c r="F3" s="953"/>
      <c r="G3" s="2737"/>
      <c r="H3" s="1416"/>
      <c r="I3" s="587" t="s">
        <v>1306</v>
      </c>
      <c r="J3" s="507"/>
      <c r="K3" s="1416"/>
      <c r="L3" s="151"/>
      <c r="M3" s="1787"/>
      <c r="N3" s="271"/>
      <c r="O3" s="1540"/>
      <c r="P3" s="1540"/>
      <c r="AH3" s="1547">
        <v>0</v>
      </c>
    </row>
    <row r="4" spans="1:34" s="2360" customFormat="1" ht="14.25" hidden="1" customHeight="1">
      <c r="A4" s="1693"/>
      <c r="B4" s="1693"/>
      <c r="C4" s="305"/>
      <c r="D4" s="281"/>
      <c r="N4" s="1552">
        <f>IFERROR(MATCH("метод экономически обоснованных расходов (затрат)",OFFER_METHOD,0),0)</f>
        <v>0</v>
      </c>
      <c r="O4" s="1540"/>
      <c r="P4" s="1540"/>
      <c r="T4" s="761"/>
      <c r="AG4" s="192"/>
      <c r="AH4" s="1547">
        <v>0</v>
      </c>
    </row>
    <row r="5" spans="1:34" s="2360" customFormat="1" ht="18.75" hidden="1" customHeight="1">
      <c r="A5" s="1694" t="s">
        <v>156</v>
      </c>
      <c r="B5" s="1694" t="s">
        <v>157</v>
      </c>
      <c r="C5" s="305"/>
      <c r="D5" s="281"/>
      <c r="E5" s="953"/>
      <c r="F5" s="953"/>
      <c r="G5" s="2737" t="str">
        <f>INDEX(PT_DIFFERENTIATION_NTAR,MATCH(B5,PT_DIFFERENTIATION_NTAR_ID,0))</f>
        <v/>
      </c>
      <c r="H5" s="1776"/>
      <c r="I5" s="1654"/>
      <c r="J5" s="1688"/>
      <c r="K5" s="1692"/>
      <c r="L5" s="1776" t="s">
        <v>305</v>
      </c>
      <c r="M5" s="1787"/>
      <c r="N5" s="271"/>
      <c r="O5" s="1540"/>
      <c r="P5" s="1540"/>
      <c r="AH5" s="1547">
        <v>0</v>
      </c>
    </row>
    <row r="6" spans="1:34" s="2360" customFormat="1" ht="18.75" hidden="1" customHeight="1">
      <c r="A6" s="1694"/>
      <c r="B6" s="1694"/>
      <c r="C6" s="305" t="s">
        <v>1307</v>
      </c>
      <c r="D6" s="281"/>
      <c r="E6" s="953"/>
      <c r="F6" s="953"/>
      <c r="G6" s="2737"/>
      <c r="H6" s="1416"/>
      <c r="I6" s="587" t="s">
        <v>1306</v>
      </c>
      <c r="J6" s="507"/>
      <c r="K6" s="1416"/>
      <c r="L6" s="151"/>
      <c r="M6" s="1787"/>
      <c r="N6" s="271"/>
      <c r="O6" s="1540"/>
      <c r="P6" s="1540"/>
      <c r="AH6" s="1547">
        <v>0</v>
      </c>
    </row>
    <row r="7" spans="1:34" s="2360" customFormat="1" ht="14.25" hidden="1" customHeight="1">
      <c r="A7" s="1693"/>
      <c r="B7" s="1693"/>
      <c r="C7" s="305"/>
      <c r="D7" s="281"/>
      <c r="N7" s="1552">
        <f>IFERROR(MATCH("метод экономически обоснованных расходов (затрат)",OFFER_METHOD,0),0)</f>
        <v>0</v>
      </c>
      <c r="O7" s="1540"/>
      <c r="P7" s="1540"/>
      <c r="T7" s="761"/>
      <c r="AG7" s="192"/>
      <c r="AH7" s="1547">
        <v>0</v>
      </c>
    </row>
    <row r="8" spans="1:34" s="2360" customFormat="1" ht="56.25" hidden="1" customHeight="1">
      <c r="A8" s="1694"/>
      <c r="B8" s="1694"/>
      <c r="C8" s="305"/>
      <c r="D8" s="281"/>
      <c r="E8" s="953"/>
      <c r="F8" s="953"/>
      <c r="G8" s="953"/>
      <c r="H8" s="1686"/>
      <c r="I8" s="1654"/>
      <c r="J8" s="1688"/>
      <c r="K8" s="1777"/>
      <c r="L8" s="1686" t="s">
        <v>305</v>
      </c>
      <c r="M8" s="1787"/>
      <c r="N8" s="271"/>
      <c r="O8" s="1540"/>
      <c r="P8" s="1540"/>
      <c r="AH8" s="1547">
        <v>0</v>
      </c>
    </row>
    <row r="9" spans="1:34" ht="14.25" hidden="1" customHeight="1">
      <c r="T9" s="333"/>
      <c r="AG9" s="192"/>
      <c r="AH9" s="310">
        <v>0</v>
      </c>
    </row>
    <row r="10" spans="1:34" s="2360" customFormat="1" ht="56.25" hidden="1" customHeight="1">
      <c r="A10" s="1694"/>
      <c r="B10" s="1694"/>
      <c r="C10" s="305"/>
      <c r="D10" s="281"/>
      <c r="E10" s="953"/>
      <c r="F10" s="953"/>
      <c r="G10" s="953"/>
      <c r="H10" s="1685"/>
      <c r="I10" s="1654"/>
      <c r="J10" s="1688"/>
      <c r="K10" s="1692"/>
      <c r="L10" s="1686" t="s">
        <v>305</v>
      </c>
      <c r="M10" s="1787"/>
      <c r="N10" s="271"/>
      <c r="O10" s="1540"/>
      <c r="P10" s="1540"/>
      <c r="AH10" s="154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76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62"/>
      <c r="G14" s="2762"/>
      <c r="H14" s="2762"/>
      <c r="I14" s="2762"/>
      <c r="J14" s="2762"/>
      <c r="K14" s="2762"/>
      <c r="L14" s="276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55" t="str">
        <f>IF(TITLE_DATE_PR_CHANGE="",IF(TITLE_DATE_PR="","",TITLE_DATE_PR),TITLE_DATE_PR_CHANGE)</f>
        <v/>
      </c>
      <c r="H16" s="2555"/>
      <c r="I16" s="2555"/>
      <c r="J16" s="2555"/>
      <c r="K16" s="2555"/>
      <c r="L16" s="255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56" t="str">
        <f>IF(TITLE_NUMBER_PR_CHANGE="",IF(TITLE_NUMBER_PR="","",TITLE_NUMBER_PR),TITLE_NUMBER_PR_CHANGE)</f>
        <v/>
      </c>
      <c r="H17" s="2556"/>
      <c r="I17" s="2556"/>
      <c r="J17" s="2556"/>
      <c r="K17" s="2556"/>
      <c r="L17" s="255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524" t="s">
        <v>299</v>
      </c>
      <c r="F19" s="2524"/>
      <c r="G19" s="2524"/>
      <c r="H19" s="2524"/>
      <c r="I19" s="2524"/>
      <c r="J19" s="2524"/>
      <c r="K19" s="2524"/>
      <c r="L19" s="2524"/>
      <c r="M19" s="2665" t="s">
        <v>300</v>
      </c>
      <c r="AH19" s="310">
        <v>21</v>
      </c>
    </row>
    <row r="20" spans="1:34" ht="21.95" customHeight="1">
      <c r="D20" s="312"/>
      <c r="E20" s="2580" t="s">
        <v>88</v>
      </c>
      <c r="F20" s="2530" t="s">
        <v>123</v>
      </c>
      <c r="G20" s="2530" t="s">
        <v>124</v>
      </c>
      <c r="H20" s="2662" t="s">
        <v>1308</v>
      </c>
      <c r="I20" s="2663"/>
      <c r="J20" s="2739"/>
      <c r="K20" s="2530" t="s">
        <v>302</v>
      </c>
      <c r="L20" s="2530" t="s">
        <v>389</v>
      </c>
      <c r="M20" s="2665"/>
      <c r="AH20" s="310">
        <v>21</v>
      </c>
    </row>
    <row r="21" spans="1:34" ht="21.95" customHeight="1">
      <c r="D21" s="312"/>
      <c r="E21" s="2582"/>
      <c r="F21" s="2531"/>
      <c r="G21" s="2531"/>
      <c r="H21" s="2529" t="s">
        <v>1309</v>
      </c>
      <c r="I21" s="2543"/>
      <c r="J21" s="48" t="s">
        <v>1310</v>
      </c>
      <c r="K21" s="2531"/>
      <c r="L21" s="2531"/>
      <c r="M21" s="2665"/>
      <c r="AH21" s="310">
        <v>21</v>
      </c>
    </row>
    <row r="22" spans="1:34" ht="12.75" customHeight="1">
      <c r="D22" s="312"/>
      <c r="E22" s="218"/>
      <c r="F22" s="218"/>
      <c r="G22" s="218"/>
      <c r="H22" s="2764"/>
      <c r="I22" s="2764"/>
      <c r="J22" s="218"/>
      <c r="K22" s="218"/>
      <c r="L22" s="218"/>
      <c r="M22" s="218"/>
      <c r="AH22" s="310">
        <v>12</v>
      </c>
    </row>
    <row r="23" spans="1:34" ht="19.899999999999999" customHeight="1">
      <c r="A23" s="1694"/>
      <c r="B23" s="1694"/>
      <c r="D23" s="312"/>
      <c r="E23" s="1778" t="s">
        <v>109</v>
      </c>
      <c r="F23" s="2765" t="str">
        <f>"Предлагаемый метод регулирования"&amp;IF(TEMPLATE_SPHERE="HEAT"," в сфере "&amp;TEMPLATE_SPHERE_RUS,"")</f>
        <v>Предлагаемый метод регулирования в сфере теплоснабжения</v>
      </c>
      <c r="G23" s="2765"/>
      <c r="H23" s="2760"/>
      <c r="I23" s="2760"/>
      <c r="J23" s="2760"/>
      <c r="K23" s="2765" t="s">
        <v>305</v>
      </c>
      <c r="L23" s="2760"/>
      <c r="M23" s="1684"/>
      <c r="N23" s="271"/>
      <c r="AH23" s="310">
        <v>19</v>
      </c>
    </row>
    <row r="24" spans="1:34" ht="60.75" hidden="1" customHeight="1">
      <c r="A24" s="1694" t="s">
        <v>156</v>
      </c>
      <c r="B24" s="1694" t="s">
        <v>157</v>
      </c>
      <c r="D24" s="2763"/>
      <c r="E24" s="2519"/>
      <c r="F24" s="276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37" t="str">
        <f>INDEX(PT_DIFFERENTIATION_NTAR,MATCH(B24,PT_DIFFERENTIATION_NTAR_ID,0))</f>
        <v/>
      </c>
      <c r="H24" s="1774"/>
      <c r="I24" s="1654"/>
      <c r="J24" s="1688"/>
      <c r="K24" s="1777"/>
      <c r="L24" s="1683" t="s">
        <v>305</v>
      </c>
      <c r="M24" s="24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360" customFormat="1" ht="18.75" hidden="1" customHeight="1">
      <c r="A25" s="1694"/>
      <c r="B25" s="1694"/>
      <c r="C25" s="305" t="s">
        <v>1305</v>
      </c>
      <c r="D25" s="2763"/>
      <c r="E25" s="2519"/>
      <c r="F25" s="2766"/>
      <c r="G25" s="2737"/>
      <c r="H25" s="1416"/>
      <c r="I25" s="587" t="s">
        <v>1306</v>
      </c>
      <c r="J25" s="507"/>
      <c r="K25" s="1416"/>
      <c r="L25" s="151"/>
      <c r="M25" s="2480"/>
      <c r="N25" s="271"/>
      <c r="O25" s="1540"/>
      <c r="P25" s="1540"/>
      <c r="AH25" s="1547">
        <v>0</v>
      </c>
    </row>
    <row r="26" spans="1:34" ht="0.75" hidden="1" customHeight="1">
      <c r="A26" s="1694"/>
      <c r="B26" s="1694"/>
      <c r="C26" s="305" t="s">
        <v>1311</v>
      </c>
      <c r="D26" s="2763"/>
      <c r="E26" s="2519"/>
      <c r="F26" s="2651"/>
      <c r="G26" s="336"/>
      <c r="H26" s="1416"/>
      <c r="I26" s="331"/>
      <c r="J26" s="285"/>
      <c r="K26" s="1416"/>
      <c r="L26" s="138"/>
      <c r="M26" s="2480"/>
      <c r="N26" s="271"/>
      <c r="AH26" s="310">
        <v>0</v>
      </c>
    </row>
    <row r="27" spans="1:34" s="2360" customFormat="1" ht="45" hidden="1" customHeight="1">
      <c r="A27" s="1694" t="s">
        <v>161</v>
      </c>
      <c r="B27" s="1694" t="s">
        <v>162</v>
      </c>
      <c r="C27" s="305"/>
      <c r="D27" s="2761"/>
      <c r="E27" s="2767"/>
      <c r="F27" s="2768" t="str">
        <f>INDEX(PT_DIFFERENTIATION_VTAR,MATCH(A27,PT_DIFFERENTIATION_VTAR_ID,0))</f>
        <v/>
      </c>
      <c r="G27" s="2737" t="str">
        <f>INDEX(PT_DIFFERENTIATION_NTAR,MATCH(B27,PT_DIFFERENTIATION_NTAR_ID,0))</f>
        <v/>
      </c>
      <c r="H27" s="1774"/>
      <c r="I27" s="1654"/>
      <c r="J27" s="1688"/>
      <c r="K27" s="1777"/>
      <c r="L27" s="1774" t="s">
        <v>305</v>
      </c>
      <c r="M27" s="2480"/>
      <c r="N27" s="271"/>
      <c r="O27" s="1540"/>
      <c r="P27" s="1540"/>
      <c r="AH27" s="1547">
        <v>0</v>
      </c>
    </row>
    <row r="28" spans="1:34" s="2360" customFormat="1" ht="18.75" hidden="1" customHeight="1">
      <c r="A28" s="1694"/>
      <c r="B28" s="1694"/>
      <c r="C28" s="305" t="s">
        <v>1305</v>
      </c>
      <c r="D28" s="2761"/>
      <c r="E28" s="2767"/>
      <c r="F28" s="2768"/>
      <c r="G28" s="2737"/>
      <c r="H28" s="1416"/>
      <c r="I28" s="587" t="s">
        <v>1306</v>
      </c>
      <c r="J28" s="507"/>
      <c r="K28" s="1416"/>
      <c r="L28" s="151"/>
      <c r="M28" s="2480"/>
      <c r="N28" s="271"/>
      <c r="O28" s="1540"/>
      <c r="P28" s="1540"/>
      <c r="AH28" s="1547">
        <v>0</v>
      </c>
    </row>
    <row r="29" spans="1:34" s="2360" customFormat="1" ht="0.75" hidden="1" customHeight="1">
      <c r="A29" s="1694"/>
      <c r="B29" s="1694"/>
      <c r="C29" s="305" t="s">
        <v>1311</v>
      </c>
      <c r="D29" s="2761"/>
      <c r="E29" s="2519"/>
      <c r="F29" s="2651"/>
      <c r="G29" s="336"/>
      <c r="H29" s="1416"/>
      <c r="I29" s="587"/>
      <c r="J29" s="507"/>
      <c r="K29" s="1416"/>
      <c r="L29" s="151"/>
      <c r="M29" s="2480"/>
      <c r="N29" s="271"/>
      <c r="O29" s="1540"/>
      <c r="P29" s="1540"/>
      <c r="AH29" s="1547">
        <v>0</v>
      </c>
    </row>
    <row r="30" spans="1:34" s="2360" customFormat="1" ht="45" hidden="1" customHeight="1">
      <c r="A30" s="1694" t="s">
        <v>168</v>
      </c>
      <c r="B30" s="1694" t="s">
        <v>169</v>
      </c>
      <c r="C30" s="305"/>
      <c r="D30" s="2761"/>
      <c r="E30" s="2519"/>
      <c r="F30" s="265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37" t="str">
        <f>INDEX(PT_DIFFERENTIATION_NTAR,MATCH(B30,PT_DIFFERENTIATION_NTAR_ID,0))</f>
        <v/>
      </c>
      <c r="H30" s="1774"/>
      <c r="I30" s="1654"/>
      <c r="J30" s="1688"/>
      <c r="K30" s="1777"/>
      <c r="L30" s="1774" t="s">
        <v>305</v>
      </c>
      <c r="M30" s="2480"/>
      <c r="N30" s="271"/>
      <c r="O30" s="1540"/>
      <c r="P30" s="1540"/>
      <c r="AH30" s="1547">
        <v>0</v>
      </c>
    </row>
    <row r="31" spans="1:34" s="2360" customFormat="1" ht="18.75" hidden="1" customHeight="1">
      <c r="A31" s="1694"/>
      <c r="B31" s="1694"/>
      <c r="C31" s="305" t="s">
        <v>1305</v>
      </c>
      <c r="D31" s="2761"/>
      <c r="E31" s="2519"/>
      <c r="F31" s="2651"/>
      <c r="G31" s="2737"/>
      <c r="H31" s="1416"/>
      <c r="I31" s="587" t="s">
        <v>1306</v>
      </c>
      <c r="J31" s="507"/>
      <c r="K31" s="1416"/>
      <c r="L31" s="151"/>
      <c r="M31" s="2480"/>
      <c r="N31" s="271"/>
      <c r="O31" s="1540"/>
      <c r="P31" s="1540"/>
      <c r="AH31" s="1547">
        <v>0</v>
      </c>
    </row>
    <row r="32" spans="1:34" s="2360" customFormat="1" ht="0.75" hidden="1" customHeight="1">
      <c r="A32" s="1694"/>
      <c r="B32" s="1694"/>
      <c r="C32" s="305" t="s">
        <v>1311</v>
      </c>
      <c r="D32" s="2761"/>
      <c r="E32" s="2519"/>
      <c r="F32" s="2651"/>
      <c r="G32" s="336"/>
      <c r="H32" s="1416"/>
      <c r="I32" s="587"/>
      <c r="J32" s="507"/>
      <c r="K32" s="1416"/>
      <c r="L32" s="151"/>
      <c r="M32" s="2480"/>
      <c r="N32" s="271"/>
      <c r="O32" s="1540"/>
      <c r="P32" s="1540"/>
      <c r="AH32" s="1547">
        <v>0</v>
      </c>
    </row>
    <row r="33" spans="1:34" s="2360" customFormat="1" ht="45" hidden="1" customHeight="1">
      <c r="A33" s="1694" t="s">
        <v>174</v>
      </c>
      <c r="B33" s="1694" t="s">
        <v>175</v>
      </c>
      <c r="C33" s="305"/>
      <c r="D33" s="2761"/>
      <c r="E33" s="2519"/>
      <c r="F33" s="265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37" t="str">
        <f>INDEX(PT_DIFFERENTIATION_NTAR,MATCH(B33,PT_DIFFERENTIATION_NTAR_ID,0))</f>
        <v/>
      </c>
      <c r="H33" s="1774"/>
      <c r="I33" s="1654"/>
      <c r="J33" s="1688"/>
      <c r="K33" s="1777"/>
      <c r="L33" s="1774" t="s">
        <v>305</v>
      </c>
      <c r="M33" s="2480"/>
      <c r="N33" s="271"/>
      <c r="O33" s="1540"/>
      <c r="P33" s="1540"/>
      <c r="AH33" s="1547">
        <v>0</v>
      </c>
    </row>
    <row r="34" spans="1:34" s="2360" customFormat="1" ht="18.75" hidden="1" customHeight="1">
      <c r="A34" s="1694"/>
      <c r="B34" s="1694"/>
      <c r="C34" s="305" t="s">
        <v>1305</v>
      </c>
      <c r="D34" s="2761"/>
      <c r="E34" s="2519"/>
      <c r="F34" s="2651"/>
      <c r="G34" s="2737"/>
      <c r="H34" s="1416"/>
      <c r="I34" s="587" t="s">
        <v>1306</v>
      </c>
      <c r="J34" s="507"/>
      <c r="K34" s="1416"/>
      <c r="L34" s="151"/>
      <c r="M34" s="2480"/>
      <c r="N34" s="271"/>
      <c r="O34" s="1540"/>
      <c r="P34" s="1540"/>
      <c r="AH34" s="1547">
        <v>0</v>
      </c>
    </row>
    <row r="35" spans="1:34" s="2360" customFormat="1" ht="0.75" hidden="1" customHeight="1">
      <c r="A35" s="1694"/>
      <c r="B35" s="1694"/>
      <c r="C35" s="305" t="s">
        <v>1311</v>
      </c>
      <c r="D35" s="2761"/>
      <c r="E35" s="2519"/>
      <c r="F35" s="2651"/>
      <c r="G35" s="336"/>
      <c r="H35" s="1416"/>
      <c r="I35" s="587"/>
      <c r="J35" s="507"/>
      <c r="K35" s="1416"/>
      <c r="L35" s="151"/>
      <c r="M35" s="2480"/>
      <c r="N35" s="271"/>
      <c r="O35" s="1540"/>
      <c r="P35" s="1540"/>
      <c r="AH35" s="1547">
        <v>0</v>
      </c>
    </row>
    <row r="36" spans="1:34" s="2360" customFormat="1" ht="18.75" hidden="1" customHeight="1">
      <c r="A36" s="1694" t="s">
        <v>180</v>
      </c>
      <c r="B36" s="1694" t="s">
        <v>181</v>
      </c>
      <c r="C36" s="305"/>
      <c r="D36" s="2761"/>
      <c r="E36" s="2519"/>
      <c r="F36" s="2651" t="str">
        <f>INDEX(PT_DIFFERENTIATION_VTAR,MATCH(A36,PT_DIFFERENTIATION_VTAR_ID,0))</f>
        <v>Тарифы на услуги по передаче тепловой энергии</v>
      </c>
      <c r="G36" s="2737" t="str">
        <f>INDEX(PT_DIFFERENTIATION_NTAR,MATCH(B36,PT_DIFFERENTIATION_NTAR_ID,0))</f>
        <v/>
      </c>
      <c r="H36" s="1774"/>
      <c r="I36" s="1654"/>
      <c r="J36" s="1688"/>
      <c r="K36" s="1777"/>
      <c r="L36" s="1774" t="s">
        <v>305</v>
      </c>
      <c r="M36" s="2480"/>
      <c r="N36" s="271"/>
      <c r="O36" s="1540"/>
      <c r="P36" s="1540"/>
      <c r="AH36" s="1547">
        <v>0</v>
      </c>
    </row>
    <row r="37" spans="1:34" s="2360" customFormat="1" ht="18.75" hidden="1" customHeight="1">
      <c r="A37" s="1694"/>
      <c r="B37" s="1694"/>
      <c r="C37" s="305" t="s">
        <v>1305</v>
      </c>
      <c r="D37" s="2761"/>
      <c r="E37" s="2519"/>
      <c r="F37" s="2651"/>
      <c r="G37" s="2737"/>
      <c r="H37" s="1416"/>
      <c r="I37" s="587" t="s">
        <v>1306</v>
      </c>
      <c r="J37" s="507"/>
      <c r="K37" s="1416"/>
      <c r="L37" s="151"/>
      <c r="M37" s="2480"/>
      <c r="N37" s="271"/>
      <c r="O37" s="1540"/>
      <c r="P37" s="1540"/>
      <c r="AH37" s="1547">
        <v>0</v>
      </c>
    </row>
    <row r="38" spans="1:34" s="2360" customFormat="1" ht="0.75" hidden="1" customHeight="1">
      <c r="A38" s="1694"/>
      <c r="B38" s="1694"/>
      <c r="C38" s="305" t="s">
        <v>1311</v>
      </c>
      <c r="D38" s="2761"/>
      <c r="E38" s="2519"/>
      <c r="F38" s="2651"/>
      <c r="G38" s="336"/>
      <c r="H38" s="1416"/>
      <c r="I38" s="587"/>
      <c r="J38" s="507"/>
      <c r="K38" s="1416"/>
      <c r="L38" s="151"/>
      <c r="M38" s="2480"/>
      <c r="N38" s="271"/>
      <c r="O38" s="1540"/>
      <c r="P38" s="1540"/>
      <c r="AH38" s="1547">
        <v>0</v>
      </c>
    </row>
    <row r="39" spans="1:34" s="2360" customFormat="1" ht="18.75" hidden="1" customHeight="1">
      <c r="A39" s="1694" t="s">
        <v>186</v>
      </c>
      <c r="B39" s="1694" t="s">
        <v>187</v>
      </c>
      <c r="C39" s="305"/>
      <c r="D39" s="2761"/>
      <c r="E39" s="2519"/>
      <c r="F39" s="2651" t="str">
        <f>INDEX(PT_DIFFERENTIATION_VTAR,MATCH(A39,PT_DIFFERENTIATION_VTAR_ID,0))</f>
        <v>Тарифы на услуги по передаче теплоносителя</v>
      </c>
      <c r="G39" s="2737" t="str">
        <f>INDEX(PT_DIFFERENTIATION_NTAR,MATCH(B39,PT_DIFFERENTIATION_NTAR_ID,0))</f>
        <v/>
      </c>
      <c r="H39" s="1774"/>
      <c r="I39" s="1654"/>
      <c r="J39" s="1688"/>
      <c r="K39" s="1777"/>
      <c r="L39" s="1774" t="s">
        <v>305</v>
      </c>
      <c r="M39" s="2480"/>
      <c r="N39" s="271"/>
      <c r="O39" s="1540"/>
      <c r="P39" s="1540"/>
      <c r="AH39" s="1547">
        <v>0</v>
      </c>
    </row>
    <row r="40" spans="1:34" s="2360" customFormat="1" ht="18.75" hidden="1" customHeight="1">
      <c r="A40" s="1694"/>
      <c r="B40" s="1694"/>
      <c r="C40" s="305" t="s">
        <v>1305</v>
      </c>
      <c r="D40" s="2761"/>
      <c r="E40" s="2519"/>
      <c r="F40" s="2651"/>
      <c r="G40" s="2737"/>
      <c r="H40" s="1416"/>
      <c r="I40" s="587" t="s">
        <v>1306</v>
      </c>
      <c r="J40" s="507"/>
      <c r="K40" s="1416"/>
      <c r="L40" s="151"/>
      <c r="M40" s="2480"/>
      <c r="N40" s="271"/>
      <c r="O40" s="1540"/>
      <c r="P40" s="1540"/>
      <c r="AH40" s="1547">
        <v>0</v>
      </c>
    </row>
    <row r="41" spans="1:34" s="2360" customFormat="1" ht="0.75" hidden="1" customHeight="1">
      <c r="A41" s="1694"/>
      <c r="B41" s="1694"/>
      <c r="C41" s="305" t="s">
        <v>1311</v>
      </c>
      <c r="D41" s="2761"/>
      <c r="E41" s="2519"/>
      <c r="F41" s="2651"/>
      <c r="G41" s="336"/>
      <c r="H41" s="1416"/>
      <c r="I41" s="587"/>
      <c r="J41" s="507"/>
      <c r="K41" s="1416"/>
      <c r="L41" s="151"/>
      <c r="M41" s="2480"/>
      <c r="N41" s="271"/>
      <c r="O41" s="1540"/>
      <c r="P41" s="1540"/>
      <c r="AH41" s="1547">
        <v>0</v>
      </c>
    </row>
    <row r="42" spans="1:34" s="2360" customFormat="1" ht="18.75" hidden="1" customHeight="1">
      <c r="A42" s="1694" t="s">
        <v>192</v>
      </c>
      <c r="B42" s="1694" t="s">
        <v>193</v>
      </c>
      <c r="C42" s="305"/>
      <c r="D42" s="2761"/>
      <c r="E42" s="2519"/>
      <c r="F42" s="2651" t="str">
        <f>INDEX(PT_DIFFERENTIATION_VTAR,MATCH(A42,PT_DIFFERENTIATION_VTAR_ID,0))</f>
        <v>Плата за услуги по поддержанию резервной тепловой мощности при отсутствии потребления тепловой энергии</v>
      </c>
      <c r="G42" s="2737" t="str">
        <f>INDEX(PT_DIFFERENTIATION_NTAR,MATCH(B42,PT_DIFFERENTIATION_NTAR_ID,0))</f>
        <v/>
      </c>
      <c r="H42" s="1774"/>
      <c r="I42" s="1654"/>
      <c r="J42" s="1688"/>
      <c r="K42" s="1777"/>
      <c r="L42" s="1774" t="s">
        <v>305</v>
      </c>
      <c r="M42" s="2480"/>
      <c r="N42" s="271"/>
      <c r="O42" s="1540"/>
      <c r="P42" s="1540"/>
      <c r="AH42" s="1547">
        <v>0</v>
      </c>
    </row>
    <row r="43" spans="1:34" s="2360" customFormat="1" ht="18.75" hidden="1" customHeight="1">
      <c r="A43" s="1694"/>
      <c r="B43" s="1694"/>
      <c r="C43" s="305" t="s">
        <v>1305</v>
      </c>
      <c r="D43" s="2761"/>
      <c r="E43" s="2519"/>
      <c r="F43" s="2651"/>
      <c r="G43" s="2737"/>
      <c r="H43" s="1416"/>
      <c r="I43" s="587" t="s">
        <v>1306</v>
      </c>
      <c r="J43" s="507"/>
      <c r="K43" s="1416"/>
      <c r="L43" s="151"/>
      <c r="M43" s="2480"/>
      <c r="N43" s="271"/>
      <c r="O43" s="1540"/>
      <c r="P43" s="1540"/>
      <c r="AH43" s="1547">
        <v>0</v>
      </c>
    </row>
    <row r="44" spans="1:34" s="2360" customFormat="1" ht="0.75" hidden="1" customHeight="1">
      <c r="A44" s="1694"/>
      <c r="B44" s="1694"/>
      <c r="C44" s="305" t="s">
        <v>1311</v>
      </c>
      <c r="D44" s="2761"/>
      <c r="E44" s="2519"/>
      <c r="F44" s="2651"/>
      <c r="G44" s="336"/>
      <c r="H44" s="1416"/>
      <c r="I44" s="587"/>
      <c r="J44" s="507"/>
      <c r="K44" s="1416"/>
      <c r="L44" s="151"/>
      <c r="M44" s="2480"/>
      <c r="N44" s="271"/>
      <c r="O44" s="1540"/>
      <c r="P44" s="1540"/>
      <c r="AH44" s="1547">
        <v>0</v>
      </c>
    </row>
    <row r="45" spans="1:34" s="2360" customFormat="1" ht="18.75" hidden="1" customHeight="1">
      <c r="A45" s="1694" t="s">
        <v>198</v>
      </c>
      <c r="B45" s="1694" t="s">
        <v>199</v>
      </c>
      <c r="C45" s="305"/>
      <c r="D45" s="2761"/>
      <c r="E45" s="2519"/>
      <c r="F45" s="2651" t="str">
        <f>INDEX(PT_DIFFERENTIATION_VTAR,MATCH(A45,PT_DIFFERENTIATION_VTAR_ID,0))</f>
        <v>Плата за подключение (технологическое присоединение) к системе теплоснабжения</v>
      </c>
      <c r="G45" s="2737" t="str">
        <f>INDEX(PT_DIFFERENTIATION_NTAR,MATCH(B45,PT_DIFFERENTIATION_NTAR_ID,0))</f>
        <v/>
      </c>
      <c r="H45" s="1774"/>
      <c r="I45" s="1654"/>
      <c r="J45" s="1688"/>
      <c r="K45" s="1777"/>
      <c r="L45" s="1774" t="s">
        <v>305</v>
      </c>
      <c r="M45" s="2480"/>
      <c r="N45" s="271"/>
      <c r="O45" s="1540"/>
      <c r="P45" s="1540"/>
      <c r="AH45" s="1547">
        <v>0</v>
      </c>
    </row>
    <row r="46" spans="1:34" s="2360" customFormat="1" ht="18.75" hidden="1" customHeight="1">
      <c r="A46" s="1694"/>
      <c r="B46" s="1694"/>
      <c r="C46" s="305" t="s">
        <v>1305</v>
      </c>
      <c r="D46" s="2761"/>
      <c r="E46" s="2519"/>
      <c r="F46" s="2651"/>
      <c r="G46" s="2737"/>
      <c r="H46" s="1416"/>
      <c r="I46" s="587" t="s">
        <v>1306</v>
      </c>
      <c r="J46" s="507"/>
      <c r="K46" s="1416"/>
      <c r="L46" s="151"/>
      <c r="M46" s="2480"/>
      <c r="N46" s="271"/>
      <c r="O46" s="1540"/>
      <c r="P46" s="1540"/>
      <c r="AH46" s="1547">
        <v>0</v>
      </c>
    </row>
    <row r="47" spans="1:34" s="2360" customFormat="1" ht="0.75" hidden="1" customHeight="1">
      <c r="A47" s="1694"/>
      <c r="B47" s="1694"/>
      <c r="C47" s="305" t="s">
        <v>1311</v>
      </c>
      <c r="D47" s="2761"/>
      <c r="E47" s="2519"/>
      <c r="F47" s="2651"/>
      <c r="G47" s="336"/>
      <c r="H47" s="1416"/>
      <c r="I47" s="587"/>
      <c r="J47" s="507"/>
      <c r="K47" s="1416"/>
      <c r="L47" s="151"/>
      <c r="M47" s="2480"/>
      <c r="N47" s="271"/>
      <c r="O47" s="1540"/>
      <c r="P47" s="1540"/>
      <c r="AH47" s="1547">
        <v>0</v>
      </c>
    </row>
    <row r="48" spans="1:34" s="2360" customFormat="1" ht="18.75" hidden="1" customHeight="1">
      <c r="A48" s="1694" t="s">
        <v>204</v>
      </c>
      <c r="B48" s="1694" t="s">
        <v>205</v>
      </c>
      <c r="C48" s="305"/>
      <c r="D48" s="2761"/>
      <c r="E48" s="2519"/>
      <c r="F48" s="2651" t="str">
        <f>INDEX(PT_DIFFERENTIATION_VTAR,MATCH(A48,PT_DIFFERENTIATION_VTAR_ID,0))</f>
        <v>Плата за подключение (технологическое присоединение) к системе теплоснабжения (индивидуальная)</v>
      </c>
      <c r="G48" s="2737" t="str">
        <f>INDEX(PT_DIFFERENTIATION_NTAR,MATCH(B48,PT_DIFFERENTIATION_NTAR_ID,0))</f>
        <v/>
      </c>
      <c r="H48" s="1898"/>
      <c r="I48" s="1654"/>
      <c r="J48" s="1688"/>
      <c r="K48" s="1777"/>
      <c r="L48" s="1898" t="s">
        <v>305</v>
      </c>
      <c r="M48" s="2480"/>
      <c r="N48" s="271"/>
      <c r="O48" s="1540"/>
      <c r="P48" s="1540"/>
      <c r="AH48" s="1547">
        <v>0</v>
      </c>
    </row>
    <row r="49" spans="1:34" s="2360" customFormat="1" ht="18.75" hidden="1" customHeight="1">
      <c r="A49" s="1694"/>
      <c r="B49" s="1694"/>
      <c r="C49" s="305" t="s">
        <v>1305</v>
      </c>
      <c r="D49" s="2761"/>
      <c r="E49" s="2519"/>
      <c r="F49" s="2651"/>
      <c r="G49" s="2737"/>
      <c r="H49" s="1416"/>
      <c r="I49" s="587" t="s">
        <v>1306</v>
      </c>
      <c r="J49" s="507"/>
      <c r="K49" s="1416"/>
      <c r="L49" s="151"/>
      <c r="M49" s="2480"/>
      <c r="N49" s="271"/>
      <c r="O49" s="1540"/>
      <c r="P49" s="1540"/>
      <c r="AH49" s="1547">
        <v>0</v>
      </c>
    </row>
    <row r="50" spans="1:34" s="2360" customFormat="1" ht="0.75" hidden="1" customHeight="1">
      <c r="A50" s="1694"/>
      <c r="B50" s="1694"/>
      <c r="C50" s="305" t="s">
        <v>1311</v>
      </c>
      <c r="D50" s="2761"/>
      <c r="E50" s="2519"/>
      <c r="F50" s="2651"/>
      <c r="G50" s="336"/>
      <c r="H50" s="1416"/>
      <c r="I50" s="587"/>
      <c r="J50" s="507"/>
      <c r="K50" s="1416"/>
      <c r="L50" s="151"/>
      <c r="M50" s="2480"/>
      <c r="N50" s="271"/>
      <c r="O50" s="1540"/>
      <c r="P50" s="1540"/>
      <c r="AH50" s="1547">
        <v>0</v>
      </c>
    </row>
    <row r="51" spans="1:34" s="2360" customFormat="1" ht="18.75" hidden="1" customHeight="1">
      <c r="A51" s="1694" t="s">
        <v>224</v>
      </c>
      <c r="B51" s="1694" t="s">
        <v>225</v>
      </c>
      <c r="C51" s="305"/>
      <c r="D51" s="2761"/>
      <c r="E51" s="2519"/>
      <c r="F51" s="2651" t="str">
        <f>INDEX(PT_DIFFERENTIATION_VTAR,MATCH(A51,PT_DIFFERENTIATION_VTAR_ID,0))</f>
        <v>Тариф на питьевую воду (питьевое водоснабжение)</v>
      </c>
      <c r="G51" s="2737" t="str">
        <f>INDEX(PT_DIFFERENTIATION_NTAR,MATCH(B51,PT_DIFFERENTIATION_NTAR_ID,0))</f>
        <v/>
      </c>
      <c r="H51" s="1774"/>
      <c r="I51" s="1654"/>
      <c r="J51" s="1688"/>
      <c r="K51" s="1777"/>
      <c r="L51" s="1774" t="s">
        <v>305</v>
      </c>
      <c r="M51" s="2480"/>
      <c r="N51" s="271"/>
      <c r="O51" s="1540"/>
      <c r="P51" s="1540"/>
      <c r="AH51" s="1547">
        <v>0</v>
      </c>
    </row>
    <row r="52" spans="1:34" s="2360" customFormat="1" ht="18.75" hidden="1" customHeight="1">
      <c r="A52" s="1694"/>
      <c r="B52" s="1694"/>
      <c r="C52" s="305" t="s">
        <v>1305</v>
      </c>
      <c r="D52" s="2761"/>
      <c r="E52" s="2519"/>
      <c r="F52" s="2651"/>
      <c r="G52" s="2737"/>
      <c r="H52" s="1416"/>
      <c r="I52" s="587" t="s">
        <v>1306</v>
      </c>
      <c r="J52" s="507"/>
      <c r="K52" s="1416"/>
      <c r="L52" s="151"/>
      <c r="M52" s="2480"/>
      <c r="N52" s="271"/>
      <c r="O52" s="1540"/>
      <c r="P52" s="1540"/>
      <c r="AH52" s="1547">
        <v>0</v>
      </c>
    </row>
    <row r="53" spans="1:34" s="2360" customFormat="1" ht="0.75" hidden="1" customHeight="1">
      <c r="A53" s="1694"/>
      <c r="B53" s="1694"/>
      <c r="C53" s="305" t="s">
        <v>1311</v>
      </c>
      <c r="D53" s="2761"/>
      <c r="E53" s="2519"/>
      <c r="F53" s="2651"/>
      <c r="G53" s="336"/>
      <c r="H53" s="1416"/>
      <c r="I53" s="587"/>
      <c r="J53" s="507"/>
      <c r="K53" s="1416"/>
      <c r="L53" s="151"/>
      <c r="M53" s="2480"/>
      <c r="N53" s="271"/>
      <c r="O53" s="1540"/>
      <c r="P53" s="1540"/>
      <c r="AH53" s="1547">
        <v>0</v>
      </c>
    </row>
    <row r="54" spans="1:34" s="2360" customFormat="1" ht="18.75" hidden="1" customHeight="1">
      <c r="A54" s="1694" t="s">
        <v>229</v>
      </c>
      <c r="B54" s="1694" t="s">
        <v>230</v>
      </c>
      <c r="C54" s="305"/>
      <c r="D54" s="2761"/>
      <c r="E54" s="2519"/>
      <c r="F54" s="2651" t="str">
        <f>INDEX(PT_DIFFERENTIATION_VTAR,MATCH(A54,PT_DIFFERENTIATION_VTAR_ID,0))</f>
        <v>Тариф на техническую воду</v>
      </c>
      <c r="G54" s="2737" t="str">
        <f>INDEX(PT_DIFFERENTIATION_NTAR,MATCH(B54,PT_DIFFERENTIATION_NTAR_ID,0))</f>
        <v/>
      </c>
      <c r="H54" s="1774"/>
      <c r="I54" s="1654"/>
      <c r="J54" s="1688"/>
      <c r="K54" s="1777"/>
      <c r="L54" s="1774" t="s">
        <v>305</v>
      </c>
      <c r="M54" s="2480"/>
      <c r="N54" s="271"/>
      <c r="O54" s="1540"/>
      <c r="P54" s="1540"/>
      <c r="AH54" s="1547">
        <v>0</v>
      </c>
    </row>
    <row r="55" spans="1:34" s="2360" customFormat="1" ht="18.75" hidden="1" customHeight="1">
      <c r="A55" s="1694"/>
      <c r="B55" s="1694"/>
      <c r="C55" s="305" t="s">
        <v>1305</v>
      </c>
      <c r="D55" s="2761"/>
      <c r="E55" s="2519"/>
      <c r="F55" s="2651"/>
      <c r="G55" s="2737"/>
      <c r="H55" s="1416"/>
      <c r="I55" s="587" t="s">
        <v>1306</v>
      </c>
      <c r="J55" s="507"/>
      <c r="K55" s="1416"/>
      <c r="L55" s="151"/>
      <c r="M55" s="2480"/>
      <c r="N55" s="271"/>
      <c r="O55" s="1540"/>
      <c r="P55" s="1540"/>
      <c r="AH55" s="1547">
        <v>0</v>
      </c>
    </row>
    <row r="56" spans="1:34" s="2360" customFormat="1" ht="0.75" hidden="1" customHeight="1">
      <c r="A56" s="1694"/>
      <c r="B56" s="1694"/>
      <c r="C56" s="305" t="s">
        <v>1311</v>
      </c>
      <c r="D56" s="2761"/>
      <c r="E56" s="2519"/>
      <c r="F56" s="2651"/>
      <c r="G56" s="336"/>
      <c r="H56" s="1416"/>
      <c r="I56" s="587"/>
      <c r="J56" s="507"/>
      <c r="K56" s="1416"/>
      <c r="L56" s="151"/>
      <c r="M56" s="2480"/>
      <c r="N56" s="271"/>
      <c r="O56" s="1540"/>
      <c r="P56" s="1540"/>
      <c r="AH56" s="1547">
        <v>0</v>
      </c>
    </row>
    <row r="57" spans="1:34" s="2360" customFormat="1" ht="18.75" hidden="1" customHeight="1">
      <c r="A57" s="1694" t="s">
        <v>234</v>
      </c>
      <c r="B57" s="1694" t="s">
        <v>235</v>
      </c>
      <c r="C57" s="305"/>
      <c r="D57" s="2761"/>
      <c r="E57" s="2519"/>
      <c r="F57" s="2651" t="str">
        <f>INDEX(PT_DIFFERENTIATION_VTAR,MATCH(A57,PT_DIFFERENTIATION_VTAR_ID,0))</f>
        <v>Тариф на транспортировку воды</v>
      </c>
      <c r="G57" s="2737" t="str">
        <f>INDEX(PT_DIFFERENTIATION_NTAR,MATCH(B57,PT_DIFFERENTIATION_NTAR_ID,0))</f>
        <v/>
      </c>
      <c r="H57" s="1774"/>
      <c r="I57" s="1654"/>
      <c r="J57" s="1688"/>
      <c r="K57" s="1777"/>
      <c r="L57" s="1774" t="s">
        <v>305</v>
      </c>
      <c r="M57" s="2480"/>
      <c r="N57" s="271"/>
      <c r="O57" s="1540"/>
      <c r="P57" s="1540"/>
      <c r="AH57" s="1547">
        <v>0</v>
      </c>
    </row>
    <row r="58" spans="1:34" s="2360" customFormat="1" ht="18.75" hidden="1" customHeight="1">
      <c r="A58" s="1694"/>
      <c r="B58" s="1694"/>
      <c r="C58" s="305" t="s">
        <v>1305</v>
      </c>
      <c r="D58" s="2761"/>
      <c r="E58" s="2519"/>
      <c r="F58" s="2651"/>
      <c r="G58" s="2737"/>
      <c r="H58" s="1416"/>
      <c r="I58" s="587" t="s">
        <v>1306</v>
      </c>
      <c r="J58" s="507"/>
      <c r="K58" s="1416"/>
      <c r="L58" s="151"/>
      <c r="M58" s="2480"/>
      <c r="N58" s="271"/>
      <c r="O58" s="1540"/>
      <c r="P58" s="1540"/>
      <c r="AH58" s="1547">
        <v>0</v>
      </c>
    </row>
    <row r="59" spans="1:34" s="2360" customFormat="1" ht="0.75" hidden="1" customHeight="1">
      <c r="A59" s="1694"/>
      <c r="B59" s="1694"/>
      <c r="C59" s="305" t="s">
        <v>1311</v>
      </c>
      <c r="D59" s="2761"/>
      <c r="E59" s="2519"/>
      <c r="F59" s="2651"/>
      <c r="G59" s="336"/>
      <c r="H59" s="1416"/>
      <c r="I59" s="587"/>
      <c r="J59" s="507"/>
      <c r="K59" s="1416"/>
      <c r="L59" s="151"/>
      <c r="M59" s="2480"/>
      <c r="N59" s="271"/>
      <c r="O59" s="1540"/>
      <c r="P59" s="1540"/>
      <c r="AH59" s="1547">
        <v>0</v>
      </c>
    </row>
    <row r="60" spans="1:34" s="2360" customFormat="1" ht="18.75" hidden="1" customHeight="1">
      <c r="A60" s="1694" t="s">
        <v>239</v>
      </c>
      <c r="B60" s="1694" t="s">
        <v>240</v>
      </c>
      <c r="C60" s="305"/>
      <c r="D60" s="2761"/>
      <c r="E60" s="2519"/>
      <c r="F60" s="2651" t="str">
        <f>INDEX(PT_DIFFERENTIATION_VTAR,MATCH(A60,PT_DIFFERENTIATION_VTAR_ID,0))</f>
        <v>Тариф на подвоз воды</v>
      </c>
      <c r="G60" s="2737" t="str">
        <f>INDEX(PT_DIFFERENTIATION_NTAR,MATCH(B60,PT_DIFFERENTIATION_NTAR_ID,0))</f>
        <v/>
      </c>
      <c r="H60" s="1774"/>
      <c r="I60" s="1654"/>
      <c r="J60" s="1688"/>
      <c r="K60" s="1777"/>
      <c r="L60" s="1774" t="s">
        <v>305</v>
      </c>
      <c r="M60" s="2480"/>
      <c r="N60" s="271"/>
      <c r="O60" s="1540"/>
      <c r="P60" s="1540"/>
      <c r="AH60" s="1547">
        <v>0</v>
      </c>
    </row>
    <row r="61" spans="1:34" s="2360" customFormat="1" ht="18.75" hidden="1" customHeight="1">
      <c r="A61" s="1694"/>
      <c r="B61" s="1694"/>
      <c r="C61" s="305" t="s">
        <v>1305</v>
      </c>
      <c r="D61" s="2761"/>
      <c r="E61" s="2519"/>
      <c r="F61" s="2651"/>
      <c r="G61" s="2737"/>
      <c r="H61" s="1416"/>
      <c r="I61" s="587" t="s">
        <v>1306</v>
      </c>
      <c r="J61" s="507"/>
      <c r="K61" s="1416"/>
      <c r="L61" s="151"/>
      <c r="M61" s="2480"/>
      <c r="N61" s="271"/>
      <c r="O61" s="1540"/>
      <c r="P61" s="1540"/>
      <c r="AH61" s="1547">
        <v>0</v>
      </c>
    </row>
    <row r="62" spans="1:34" s="2360" customFormat="1" ht="0.75" hidden="1" customHeight="1">
      <c r="A62" s="1694"/>
      <c r="B62" s="1694"/>
      <c r="C62" s="305" t="s">
        <v>1311</v>
      </c>
      <c r="D62" s="2761"/>
      <c r="E62" s="2519"/>
      <c r="F62" s="2651"/>
      <c r="G62" s="336"/>
      <c r="H62" s="1416"/>
      <c r="I62" s="587"/>
      <c r="J62" s="507"/>
      <c r="K62" s="1416"/>
      <c r="L62" s="151"/>
      <c r="M62" s="2480"/>
      <c r="N62" s="271"/>
      <c r="O62" s="1540"/>
      <c r="P62" s="1540"/>
      <c r="AH62" s="1547">
        <v>0</v>
      </c>
    </row>
    <row r="63" spans="1:34" s="2360" customFormat="1" ht="18.75" hidden="1" customHeight="1">
      <c r="A63" s="1694" t="s">
        <v>244</v>
      </c>
      <c r="B63" s="1694" t="s">
        <v>245</v>
      </c>
      <c r="C63" s="305"/>
      <c r="D63" s="2761"/>
      <c r="E63" s="2519"/>
      <c r="F63" s="265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37" t="str">
        <f>INDEX(PT_DIFFERENTIATION_NTAR,MATCH(B63,PT_DIFFERENTIATION_NTAR_ID,0))</f>
        <v/>
      </c>
      <c r="H63" s="1774"/>
      <c r="I63" s="1654"/>
      <c r="J63" s="1688"/>
      <c r="K63" s="1777"/>
      <c r="L63" s="1774" t="s">
        <v>305</v>
      </c>
      <c r="M63" s="2480"/>
      <c r="N63" s="271"/>
      <c r="O63" s="1540"/>
      <c r="P63" s="1540"/>
      <c r="AH63" s="1547">
        <v>0</v>
      </c>
    </row>
    <row r="64" spans="1:34" s="2360" customFormat="1" ht="18.75" hidden="1" customHeight="1">
      <c r="A64" s="1694"/>
      <c r="B64" s="1694"/>
      <c r="C64" s="305" t="s">
        <v>1305</v>
      </c>
      <c r="D64" s="2761"/>
      <c r="E64" s="2519"/>
      <c r="F64" s="2651"/>
      <c r="G64" s="2737"/>
      <c r="H64" s="1416"/>
      <c r="I64" s="587" t="s">
        <v>1306</v>
      </c>
      <c r="J64" s="507"/>
      <c r="K64" s="1416"/>
      <c r="L64" s="151"/>
      <c r="M64" s="2480"/>
      <c r="N64" s="271"/>
      <c r="O64" s="1540"/>
      <c r="P64" s="1540"/>
      <c r="AH64" s="1547">
        <v>0</v>
      </c>
    </row>
    <row r="65" spans="1:34" s="2360" customFormat="1" ht="0.75" hidden="1" customHeight="1">
      <c r="A65" s="1694"/>
      <c r="B65" s="1694"/>
      <c r="C65" s="305" t="s">
        <v>1311</v>
      </c>
      <c r="D65" s="2761"/>
      <c r="E65" s="2519"/>
      <c r="F65" s="2651"/>
      <c r="G65" s="336"/>
      <c r="H65" s="1416"/>
      <c r="I65" s="587"/>
      <c r="J65" s="507"/>
      <c r="K65" s="1416"/>
      <c r="L65" s="151"/>
      <c r="M65" s="2480"/>
      <c r="N65" s="271"/>
      <c r="O65" s="1540"/>
      <c r="P65" s="1540"/>
      <c r="AH65" s="1547">
        <v>0</v>
      </c>
    </row>
    <row r="66" spans="1:34" s="2360" customFormat="1" ht="18.75" hidden="1" customHeight="1">
      <c r="A66" s="1694" t="s">
        <v>249</v>
      </c>
      <c r="B66" s="1694" t="s">
        <v>250</v>
      </c>
      <c r="C66" s="305"/>
      <c r="D66" s="2761"/>
      <c r="E66" s="2519"/>
      <c r="F66" s="2651" t="str">
        <f>INDEX(PT_DIFFERENTIATION_VTAR,MATCH(A66,PT_DIFFERENTIATION_VTAR_ID,0))</f>
        <v>Тариф на горячую воду (горячее водоснабжение)</v>
      </c>
      <c r="G66" s="2737" t="str">
        <f>INDEX(PT_DIFFERENTIATION_NTAR,MATCH(B66,PT_DIFFERENTIATION_NTAR_ID,0))</f>
        <v/>
      </c>
      <c r="H66" s="1774"/>
      <c r="I66" s="1654"/>
      <c r="J66" s="1688"/>
      <c r="K66" s="1777"/>
      <c r="L66" s="1774" t="s">
        <v>305</v>
      </c>
      <c r="M66" s="2480"/>
      <c r="N66" s="271"/>
      <c r="O66" s="1540"/>
      <c r="P66" s="1540"/>
      <c r="AH66" s="1547">
        <v>0</v>
      </c>
    </row>
    <row r="67" spans="1:34" s="2360" customFormat="1" ht="18.75" hidden="1" customHeight="1">
      <c r="A67" s="1694"/>
      <c r="B67" s="1694"/>
      <c r="C67" s="305" t="s">
        <v>1305</v>
      </c>
      <c r="D67" s="2761"/>
      <c r="E67" s="2519"/>
      <c r="F67" s="2651"/>
      <c r="G67" s="2737"/>
      <c r="H67" s="1416"/>
      <c r="I67" s="587" t="s">
        <v>1306</v>
      </c>
      <c r="J67" s="507"/>
      <c r="K67" s="1416"/>
      <c r="L67" s="151"/>
      <c r="M67" s="2480"/>
      <c r="N67" s="271"/>
      <c r="O67" s="1540"/>
      <c r="P67" s="1540"/>
      <c r="AH67" s="1547">
        <v>0</v>
      </c>
    </row>
    <row r="68" spans="1:34" s="2360" customFormat="1" ht="0.75" hidden="1" customHeight="1">
      <c r="A68" s="1694"/>
      <c r="B68" s="1694"/>
      <c r="C68" s="305" t="s">
        <v>1311</v>
      </c>
      <c r="D68" s="2761"/>
      <c r="E68" s="2519"/>
      <c r="F68" s="2651"/>
      <c r="G68" s="336"/>
      <c r="H68" s="1416"/>
      <c r="I68" s="587"/>
      <c r="J68" s="507"/>
      <c r="K68" s="1416"/>
      <c r="L68" s="151"/>
      <c r="M68" s="2480"/>
      <c r="N68" s="271"/>
      <c r="O68" s="1540"/>
      <c r="P68" s="1540"/>
      <c r="AH68" s="1547">
        <v>0</v>
      </c>
    </row>
    <row r="69" spans="1:34" s="2360" customFormat="1" ht="18.75" hidden="1" customHeight="1">
      <c r="A69" s="1694" t="s">
        <v>254</v>
      </c>
      <c r="B69" s="1694" t="s">
        <v>255</v>
      </c>
      <c r="C69" s="305"/>
      <c r="D69" s="2761"/>
      <c r="E69" s="2519"/>
      <c r="F69" s="2651" t="str">
        <f>INDEX(PT_DIFFERENTIATION_VTAR,MATCH(A69,PT_DIFFERENTIATION_VTAR_ID,0))</f>
        <v>Тариф на транспортировку горячей воды</v>
      </c>
      <c r="G69" s="2737" t="str">
        <f>INDEX(PT_DIFFERENTIATION_NTAR,MATCH(B69,PT_DIFFERENTIATION_NTAR_ID,0))</f>
        <v/>
      </c>
      <c r="H69" s="1774"/>
      <c r="I69" s="1654"/>
      <c r="J69" s="1688"/>
      <c r="K69" s="1777"/>
      <c r="L69" s="1774" t="s">
        <v>305</v>
      </c>
      <c r="M69" s="2480"/>
      <c r="N69" s="271"/>
      <c r="O69" s="1540"/>
      <c r="P69" s="1540"/>
      <c r="AH69" s="1547">
        <v>0</v>
      </c>
    </row>
    <row r="70" spans="1:34" s="2360" customFormat="1" ht="18.75" hidden="1" customHeight="1">
      <c r="A70" s="1694"/>
      <c r="B70" s="1694"/>
      <c r="C70" s="305" t="s">
        <v>1305</v>
      </c>
      <c r="D70" s="2761"/>
      <c r="E70" s="2519"/>
      <c r="F70" s="2651"/>
      <c r="G70" s="2737"/>
      <c r="H70" s="1416"/>
      <c r="I70" s="587" t="s">
        <v>1306</v>
      </c>
      <c r="J70" s="507"/>
      <c r="K70" s="1416"/>
      <c r="L70" s="151"/>
      <c r="M70" s="2480"/>
      <c r="N70" s="271"/>
      <c r="O70" s="1540"/>
      <c r="P70" s="1540"/>
      <c r="AH70" s="1547">
        <v>0</v>
      </c>
    </row>
    <row r="71" spans="1:34" s="2360" customFormat="1" ht="0.75" hidden="1" customHeight="1">
      <c r="A71" s="1694"/>
      <c r="B71" s="1694"/>
      <c r="C71" s="305" t="s">
        <v>1311</v>
      </c>
      <c r="D71" s="2761"/>
      <c r="E71" s="2519"/>
      <c r="F71" s="2651"/>
      <c r="G71" s="336"/>
      <c r="H71" s="1416"/>
      <c r="I71" s="587"/>
      <c r="J71" s="507"/>
      <c r="K71" s="1416"/>
      <c r="L71" s="151"/>
      <c r="M71" s="2480"/>
      <c r="N71" s="271"/>
      <c r="O71" s="1540"/>
      <c r="P71" s="1540"/>
      <c r="AH71" s="1547">
        <v>0</v>
      </c>
    </row>
    <row r="72" spans="1:34" s="2360" customFormat="1" ht="18.75" hidden="1" customHeight="1">
      <c r="A72" s="1694" t="s">
        <v>259</v>
      </c>
      <c r="B72" s="1694" t="s">
        <v>260</v>
      </c>
      <c r="C72" s="305"/>
      <c r="D72" s="2761"/>
      <c r="E72" s="2519"/>
      <c r="F72" s="2651" t="str">
        <f>INDEX(PT_DIFFERENTIATION_VTAR,MATCH(A72,PT_DIFFERENTIATION_VTAR_ID,0))</f>
        <v>Тариф на подключение (технологическое присоединение) к централизованной системе горячего водоснабжения</v>
      </c>
      <c r="G72" s="2737" t="str">
        <f>INDEX(PT_DIFFERENTIATION_NTAR,MATCH(B72,PT_DIFFERENTIATION_NTAR_ID,0))</f>
        <v/>
      </c>
      <c r="H72" s="1774"/>
      <c r="I72" s="1654"/>
      <c r="J72" s="1688"/>
      <c r="K72" s="1777"/>
      <c r="L72" s="1774" t="s">
        <v>305</v>
      </c>
      <c r="M72" s="2480"/>
      <c r="N72" s="271"/>
      <c r="O72" s="1540"/>
      <c r="P72" s="1540"/>
      <c r="AH72" s="1547">
        <v>0</v>
      </c>
    </row>
    <row r="73" spans="1:34" s="2360" customFormat="1" ht="18.75" hidden="1" customHeight="1">
      <c r="A73" s="1694"/>
      <c r="B73" s="1694"/>
      <c r="C73" s="305" t="s">
        <v>1305</v>
      </c>
      <c r="D73" s="2761"/>
      <c r="E73" s="2519"/>
      <c r="F73" s="2651"/>
      <c r="G73" s="2737"/>
      <c r="H73" s="1416"/>
      <c r="I73" s="587" t="s">
        <v>1306</v>
      </c>
      <c r="J73" s="507"/>
      <c r="K73" s="1416"/>
      <c r="L73" s="151"/>
      <c r="M73" s="2480"/>
      <c r="N73" s="271"/>
      <c r="O73" s="1540"/>
      <c r="P73" s="1540"/>
      <c r="AH73" s="1547">
        <v>0</v>
      </c>
    </row>
    <row r="74" spans="1:34" s="2360" customFormat="1" ht="0.75" hidden="1" customHeight="1">
      <c r="A74" s="1694"/>
      <c r="B74" s="1694"/>
      <c r="C74" s="305" t="s">
        <v>1311</v>
      </c>
      <c r="D74" s="2761"/>
      <c r="E74" s="2519"/>
      <c r="F74" s="2651"/>
      <c r="G74" s="336"/>
      <c r="H74" s="1416"/>
      <c r="I74" s="587"/>
      <c r="J74" s="507"/>
      <c r="K74" s="1416"/>
      <c r="L74" s="151"/>
      <c r="M74" s="2480"/>
      <c r="N74" s="271"/>
      <c r="O74" s="1540"/>
      <c r="P74" s="1540"/>
      <c r="AH74" s="1547">
        <v>0</v>
      </c>
    </row>
    <row r="75" spans="1:34" s="2360" customFormat="1" ht="18.75" hidden="1" customHeight="1">
      <c r="A75" s="1694" t="s">
        <v>264</v>
      </c>
      <c r="B75" s="1694" t="s">
        <v>265</v>
      </c>
      <c r="C75" s="305"/>
      <c r="D75" s="2761"/>
      <c r="E75" s="2519"/>
      <c r="F75" s="2651" t="str">
        <f>INDEX(PT_DIFFERENTIATION_VTAR,MATCH(A75,PT_DIFFERENTIATION_VTAR_ID,0))</f>
        <v>Тариф на водоотведение</v>
      </c>
      <c r="G75" s="2737" t="str">
        <f>INDEX(PT_DIFFERENTIATION_NTAR,MATCH(B75,PT_DIFFERENTIATION_NTAR_ID,0))</f>
        <v/>
      </c>
      <c r="H75" s="1774"/>
      <c r="I75" s="1654"/>
      <c r="J75" s="1688"/>
      <c r="K75" s="1777"/>
      <c r="L75" s="1774" t="s">
        <v>305</v>
      </c>
      <c r="M75" s="2480"/>
      <c r="N75" s="271"/>
      <c r="O75" s="1540"/>
      <c r="P75" s="1540"/>
      <c r="AH75" s="1547">
        <v>0</v>
      </c>
    </row>
    <row r="76" spans="1:34" s="2360" customFormat="1" ht="18.75" hidden="1" customHeight="1">
      <c r="A76" s="1694"/>
      <c r="B76" s="1694"/>
      <c r="C76" s="305" t="s">
        <v>1305</v>
      </c>
      <c r="D76" s="2761"/>
      <c r="E76" s="2519"/>
      <c r="F76" s="2651"/>
      <c r="G76" s="2737"/>
      <c r="H76" s="1416"/>
      <c r="I76" s="587" t="s">
        <v>1306</v>
      </c>
      <c r="J76" s="507"/>
      <c r="K76" s="1416"/>
      <c r="L76" s="151"/>
      <c r="M76" s="2480"/>
      <c r="N76" s="271"/>
      <c r="O76" s="1540"/>
      <c r="P76" s="1540"/>
      <c r="AH76" s="1547">
        <v>0</v>
      </c>
    </row>
    <row r="77" spans="1:34" s="2360" customFormat="1" ht="0.75" hidden="1" customHeight="1">
      <c r="A77" s="1694"/>
      <c r="B77" s="1694"/>
      <c r="C77" s="305" t="s">
        <v>1311</v>
      </c>
      <c r="D77" s="2761"/>
      <c r="E77" s="2519"/>
      <c r="F77" s="2651"/>
      <c r="G77" s="336"/>
      <c r="H77" s="1416"/>
      <c r="I77" s="587"/>
      <c r="J77" s="507"/>
      <c r="K77" s="1416"/>
      <c r="L77" s="151"/>
      <c r="M77" s="2480"/>
      <c r="N77" s="271"/>
      <c r="O77" s="1540"/>
      <c r="P77" s="1540"/>
      <c r="AH77" s="1547">
        <v>0</v>
      </c>
    </row>
    <row r="78" spans="1:34" s="2360" customFormat="1" ht="18.75" hidden="1" customHeight="1">
      <c r="A78" s="1694" t="s">
        <v>269</v>
      </c>
      <c r="B78" s="1694" t="s">
        <v>270</v>
      </c>
      <c r="C78" s="305"/>
      <c r="D78" s="2761"/>
      <c r="E78" s="2519"/>
      <c r="F78" s="2651" t="str">
        <f>INDEX(PT_DIFFERENTIATION_VTAR,MATCH(A78,PT_DIFFERENTIATION_VTAR_ID,0))</f>
        <v>Тариф на транспортировку сточных вод</v>
      </c>
      <c r="G78" s="2737" t="str">
        <f>INDEX(PT_DIFFERENTIATION_NTAR,MATCH(B78,PT_DIFFERENTIATION_NTAR_ID,0))</f>
        <v/>
      </c>
      <c r="H78" s="1774"/>
      <c r="I78" s="1654"/>
      <c r="J78" s="1688"/>
      <c r="K78" s="1777"/>
      <c r="L78" s="1774" t="s">
        <v>305</v>
      </c>
      <c r="M78" s="2480"/>
      <c r="N78" s="271"/>
      <c r="O78" s="1540"/>
      <c r="P78" s="1540"/>
      <c r="AH78" s="1547">
        <v>0</v>
      </c>
    </row>
    <row r="79" spans="1:34" s="2360" customFormat="1" ht="18.75" hidden="1" customHeight="1">
      <c r="A79" s="1694"/>
      <c r="B79" s="1694"/>
      <c r="C79" s="305" t="s">
        <v>1305</v>
      </c>
      <c r="D79" s="2761"/>
      <c r="E79" s="2519"/>
      <c r="F79" s="2651"/>
      <c r="G79" s="2737"/>
      <c r="H79" s="1416"/>
      <c r="I79" s="587" t="s">
        <v>1306</v>
      </c>
      <c r="J79" s="507"/>
      <c r="K79" s="1416"/>
      <c r="L79" s="151"/>
      <c r="M79" s="2480"/>
      <c r="N79" s="271"/>
      <c r="O79" s="1540"/>
      <c r="P79" s="1540"/>
      <c r="AH79" s="1547">
        <v>0</v>
      </c>
    </row>
    <row r="80" spans="1:34" s="2360" customFormat="1" ht="0.75" hidden="1" customHeight="1">
      <c r="A80" s="1694"/>
      <c r="B80" s="1694"/>
      <c r="C80" s="305" t="s">
        <v>1311</v>
      </c>
      <c r="D80" s="2761"/>
      <c r="E80" s="2519"/>
      <c r="F80" s="2651"/>
      <c r="G80" s="336"/>
      <c r="H80" s="1416"/>
      <c r="I80" s="587"/>
      <c r="J80" s="507"/>
      <c r="K80" s="1416"/>
      <c r="L80" s="151"/>
      <c r="M80" s="2480"/>
      <c r="N80" s="271"/>
      <c r="O80" s="1540"/>
      <c r="P80" s="1540"/>
      <c r="AH80" s="1547">
        <v>0</v>
      </c>
    </row>
    <row r="81" spans="1:34" s="2360" customFormat="1" ht="18.75" hidden="1" customHeight="1">
      <c r="A81" s="1694" t="s">
        <v>274</v>
      </c>
      <c r="B81" s="1694" t="s">
        <v>275</v>
      </c>
      <c r="C81" s="305"/>
      <c r="D81" s="2761"/>
      <c r="E81" s="2519"/>
      <c r="F81" s="2651" t="str">
        <f>INDEX(PT_DIFFERENTIATION_VTAR,MATCH(A81,PT_DIFFERENTIATION_VTAR_ID,0))</f>
        <v>Тариф на подключение (технологическое присоединение) к централизованной системе водоотведения</v>
      </c>
      <c r="G81" s="2737" t="str">
        <f>INDEX(PT_DIFFERENTIATION_NTAR,MATCH(B81,PT_DIFFERENTIATION_NTAR_ID,0))</f>
        <v/>
      </c>
      <c r="H81" s="1774"/>
      <c r="I81" s="1654"/>
      <c r="J81" s="1688"/>
      <c r="K81" s="1777"/>
      <c r="L81" s="1774" t="s">
        <v>305</v>
      </c>
      <c r="M81" s="2480"/>
      <c r="N81" s="271"/>
      <c r="O81" s="1540"/>
      <c r="P81" s="1540"/>
      <c r="AH81" s="1547">
        <v>0</v>
      </c>
    </row>
    <row r="82" spans="1:34" s="2360" customFormat="1" ht="18.75" hidden="1" customHeight="1">
      <c r="A82" s="1694"/>
      <c r="B82" s="1694"/>
      <c r="C82" s="305" t="s">
        <v>1305</v>
      </c>
      <c r="D82" s="2761"/>
      <c r="E82" s="2519"/>
      <c r="F82" s="2651"/>
      <c r="G82" s="2737"/>
      <c r="H82" s="1416"/>
      <c r="I82" s="587" t="s">
        <v>1306</v>
      </c>
      <c r="J82" s="507"/>
      <c r="K82" s="1416"/>
      <c r="L82" s="151"/>
      <c r="M82" s="2480"/>
      <c r="N82" s="271"/>
      <c r="O82" s="1540"/>
      <c r="P82" s="1540"/>
      <c r="AH82" s="1547">
        <v>0</v>
      </c>
    </row>
    <row r="83" spans="1:34" s="2360" customFormat="1" ht="1.1499999999999999" customHeight="1">
      <c r="A83" s="1694"/>
      <c r="B83" s="1694"/>
      <c r="C83" s="305" t="s">
        <v>1311</v>
      </c>
      <c r="D83" s="2761"/>
      <c r="E83" s="2519"/>
      <c r="F83" s="2651"/>
      <c r="G83" s="336"/>
      <c r="H83" s="1416"/>
      <c r="I83" s="587"/>
      <c r="J83" s="507"/>
      <c r="K83" s="1416"/>
      <c r="L83" s="151"/>
      <c r="M83" s="2480"/>
      <c r="N83" s="271"/>
      <c r="O83" s="1540"/>
      <c r="P83" s="1540"/>
      <c r="AH83" s="1547">
        <v>1</v>
      </c>
    </row>
    <row r="84" spans="1:34" ht="19.899999999999999" customHeight="1">
      <c r="A84" s="1694"/>
      <c r="B84" s="1694"/>
      <c r="D84" s="312"/>
      <c r="E84" s="85" t="s">
        <v>110</v>
      </c>
      <c r="F84" s="276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60"/>
      <c r="H84" s="2760"/>
      <c r="I84" s="2760"/>
      <c r="J84" s="2760"/>
      <c r="K84" s="2760"/>
      <c r="L84" s="2760"/>
      <c r="M84" s="234"/>
      <c r="N84" s="271"/>
      <c r="AH84" s="310">
        <v>19</v>
      </c>
    </row>
    <row r="85" spans="1:34" ht="35.65" customHeight="1">
      <c r="A85" s="1694"/>
      <c r="B85" s="1694"/>
      <c r="D85" s="312"/>
      <c r="E85" s="335"/>
      <c r="F85" s="135" t="s">
        <v>305</v>
      </c>
      <c r="G85" s="135" t="s">
        <v>305</v>
      </c>
      <c r="H85" s="2529" t="s">
        <v>305</v>
      </c>
      <c r="I85" s="2543"/>
      <c r="J85" s="135" t="s">
        <v>305</v>
      </c>
      <c r="K85" s="135" t="s">
        <v>305</v>
      </c>
      <c r="L85" s="337"/>
      <c r="M85" s="282" t="s">
        <v>1312</v>
      </c>
      <c r="N85" s="271"/>
      <c r="AH85" s="310">
        <v>34</v>
      </c>
    </row>
    <row r="86" spans="1:34" ht="19.899999999999999" customHeight="1">
      <c r="A86" s="1694"/>
      <c r="B86" s="1694"/>
      <c r="D86" s="312"/>
      <c r="E86" s="85" t="s">
        <v>90</v>
      </c>
      <c r="F86" s="2760" t="s">
        <v>1313</v>
      </c>
      <c r="G86" s="2760"/>
      <c r="H86" s="2760"/>
      <c r="I86" s="2760"/>
      <c r="J86" s="2760"/>
      <c r="K86" s="2760"/>
      <c r="L86" s="2760"/>
      <c r="M86" s="234"/>
      <c r="N86" s="271"/>
      <c r="AH86" s="310">
        <v>19</v>
      </c>
    </row>
    <row r="87" spans="1:34" s="2360" customFormat="1" ht="60.75" hidden="1" customHeight="1">
      <c r="A87" s="1694" t="s">
        <v>156</v>
      </c>
      <c r="B87" s="1694" t="s">
        <v>157</v>
      </c>
      <c r="C87" s="305"/>
      <c r="D87" s="2761"/>
      <c r="E87" s="2519"/>
      <c r="F87" s="265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37" t="str">
        <f>INDEX(PT_DIFFERENTIATION_NTAR,MATCH(B87,PT_DIFFERENTIATION_NTAR_ID,0))</f>
        <v/>
      </c>
      <c r="H87" s="1774"/>
      <c r="I87" s="1654"/>
      <c r="J87" s="1688"/>
      <c r="K87" s="1692"/>
      <c r="L87" s="1774" t="s">
        <v>305</v>
      </c>
      <c r="M87" s="24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0"/>
      <c r="P87" s="1540"/>
      <c r="AH87" s="1547">
        <v>0</v>
      </c>
    </row>
    <row r="88" spans="1:34" s="2360" customFormat="1" ht="18.75" hidden="1" customHeight="1">
      <c r="A88" s="1694"/>
      <c r="B88" s="1694"/>
      <c r="C88" s="305" t="s">
        <v>1307</v>
      </c>
      <c r="D88" s="2761"/>
      <c r="E88" s="2519"/>
      <c r="F88" s="2651"/>
      <c r="G88" s="2737"/>
      <c r="H88" s="1416"/>
      <c r="I88" s="587" t="s">
        <v>1306</v>
      </c>
      <c r="J88" s="507"/>
      <c r="K88" s="1416"/>
      <c r="L88" s="151"/>
      <c r="M88" s="2480"/>
      <c r="N88" s="271"/>
      <c r="O88" s="1540"/>
      <c r="P88" s="1540"/>
      <c r="AH88" s="1547">
        <v>0</v>
      </c>
    </row>
    <row r="89" spans="1:34" s="2360" customFormat="1" ht="0.75" hidden="1" customHeight="1">
      <c r="A89" s="1694"/>
      <c r="B89" s="1694"/>
      <c r="C89" s="305" t="s">
        <v>1314</v>
      </c>
      <c r="D89" s="2761"/>
      <c r="E89" s="2519"/>
      <c r="F89" s="2651"/>
      <c r="G89" s="336"/>
      <c r="H89" s="1416"/>
      <c r="I89" s="587"/>
      <c r="J89" s="507"/>
      <c r="K89" s="1416"/>
      <c r="L89" s="151"/>
      <c r="M89" s="2480"/>
      <c r="N89" s="271"/>
      <c r="O89" s="1540"/>
      <c r="P89" s="1540"/>
      <c r="AH89" s="1547">
        <v>0</v>
      </c>
    </row>
    <row r="90" spans="1:34" s="2360" customFormat="1" ht="45" hidden="1" customHeight="1">
      <c r="A90" s="1694" t="s">
        <v>161</v>
      </c>
      <c r="B90" s="1694" t="s">
        <v>162</v>
      </c>
      <c r="C90" s="305"/>
      <c r="D90" s="2761"/>
      <c r="E90" s="2519"/>
      <c r="F90" s="2651" t="str">
        <f>INDEX(PT_DIFFERENTIATION_VTAR,MATCH(A90,PT_DIFFERENTIATION_VTAR_ID,0))</f>
        <v/>
      </c>
      <c r="G90" s="2737" t="str">
        <f>INDEX(PT_DIFFERENTIATION_NTAR,MATCH(B90,PT_DIFFERENTIATION_NTAR_ID,0))</f>
        <v/>
      </c>
      <c r="H90" s="1774"/>
      <c r="I90" s="1654"/>
      <c r="J90" s="1688"/>
      <c r="K90" s="1692"/>
      <c r="L90" s="1774" t="s">
        <v>305</v>
      </c>
      <c r="M90" s="2481"/>
      <c r="N90" s="271"/>
      <c r="O90" s="1540"/>
      <c r="P90" s="1540"/>
      <c r="AH90" s="1547">
        <v>0</v>
      </c>
    </row>
    <row r="91" spans="1:34" s="2360" customFormat="1" ht="18.75" hidden="1" customHeight="1">
      <c r="A91" s="1694"/>
      <c r="B91" s="1694"/>
      <c r="C91" s="305" t="s">
        <v>1307</v>
      </c>
      <c r="D91" s="2761"/>
      <c r="E91" s="2519"/>
      <c r="F91" s="2651"/>
      <c r="G91" s="2737"/>
      <c r="H91" s="1416"/>
      <c r="I91" s="587" t="s">
        <v>1306</v>
      </c>
      <c r="J91" s="507"/>
      <c r="K91" s="1416"/>
      <c r="L91" s="151"/>
      <c r="M91" s="1773"/>
      <c r="N91" s="271"/>
      <c r="O91" s="1540"/>
      <c r="P91" s="1540"/>
      <c r="AH91" s="1547">
        <v>0</v>
      </c>
    </row>
    <row r="92" spans="1:34" s="2360" customFormat="1" ht="0.75" hidden="1" customHeight="1">
      <c r="A92" s="1694"/>
      <c r="B92" s="1694"/>
      <c r="C92" s="305" t="s">
        <v>1314</v>
      </c>
      <c r="D92" s="2761"/>
      <c r="E92" s="2519"/>
      <c r="F92" s="2651"/>
      <c r="G92" s="336"/>
      <c r="H92" s="1416"/>
      <c r="I92" s="587"/>
      <c r="J92" s="507"/>
      <c r="K92" s="1416"/>
      <c r="L92" s="151"/>
      <c r="M92" s="278"/>
      <c r="N92" s="271"/>
      <c r="O92" s="1540"/>
      <c r="P92" s="1540"/>
      <c r="AH92" s="1547">
        <v>0</v>
      </c>
    </row>
    <row r="93" spans="1:34" s="2360" customFormat="1" ht="45" hidden="1" customHeight="1">
      <c r="A93" s="1694" t="s">
        <v>168</v>
      </c>
      <c r="B93" s="1694" t="s">
        <v>169</v>
      </c>
      <c r="C93" s="305"/>
      <c r="D93" s="2761"/>
      <c r="E93" s="2519"/>
      <c r="F93" s="265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37" t="str">
        <f>INDEX(PT_DIFFERENTIATION_NTAR,MATCH(B93,PT_DIFFERENTIATION_NTAR_ID,0))</f>
        <v/>
      </c>
      <c r="H93" s="1774"/>
      <c r="I93" s="1654"/>
      <c r="J93" s="1688"/>
      <c r="K93" s="1692"/>
      <c r="L93" s="1774" t="s">
        <v>305</v>
      </c>
      <c r="M93" s="278"/>
      <c r="N93" s="271"/>
      <c r="O93" s="1540"/>
      <c r="P93" s="1540"/>
      <c r="AH93" s="1547">
        <v>0</v>
      </c>
    </row>
    <row r="94" spans="1:34" s="2360" customFormat="1" ht="18.75" hidden="1" customHeight="1">
      <c r="A94" s="1694"/>
      <c r="B94" s="1694"/>
      <c r="C94" s="305" t="s">
        <v>1307</v>
      </c>
      <c r="D94" s="2761"/>
      <c r="E94" s="2519"/>
      <c r="F94" s="2651"/>
      <c r="G94" s="2737"/>
      <c r="H94" s="1416"/>
      <c r="I94" s="587" t="s">
        <v>1306</v>
      </c>
      <c r="J94" s="507"/>
      <c r="K94" s="1416"/>
      <c r="L94" s="151"/>
      <c r="M94" s="278"/>
      <c r="N94" s="271"/>
      <c r="O94" s="1540"/>
      <c r="P94" s="1540"/>
      <c r="AH94" s="1547">
        <v>0</v>
      </c>
    </row>
    <row r="95" spans="1:34" s="2360" customFormat="1" ht="0.75" hidden="1" customHeight="1">
      <c r="A95" s="1694"/>
      <c r="B95" s="1694"/>
      <c r="C95" s="305" t="s">
        <v>1314</v>
      </c>
      <c r="D95" s="2761"/>
      <c r="E95" s="2519"/>
      <c r="F95" s="2651"/>
      <c r="G95" s="336"/>
      <c r="H95" s="1416"/>
      <c r="I95" s="587"/>
      <c r="J95" s="507"/>
      <c r="K95" s="1416"/>
      <c r="L95" s="151"/>
      <c r="M95" s="278"/>
      <c r="N95" s="271"/>
      <c r="O95" s="1540"/>
      <c r="P95" s="1540"/>
      <c r="AH95" s="1547">
        <v>0</v>
      </c>
    </row>
    <row r="96" spans="1:34" s="2360" customFormat="1" ht="45" hidden="1" customHeight="1">
      <c r="A96" s="1694" t="s">
        <v>174</v>
      </c>
      <c r="B96" s="1694" t="s">
        <v>175</v>
      </c>
      <c r="C96" s="305"/>
      <c r="D96" s="2761"/>
      <c r="E96" s="2519"/>
      <c r="F96" s="265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37" t="str">
        <f>INDEX(PT_DIFFERENTIATION_NTAR,MATCH(B96,PT_DIFFERENTIATION_NTAR_ID,0))</f>
        <v/>
      </c>
      <c r="H96" s="1774"/>
      <c r="I96" s="1654"/>
      <c r="J96" s="1688"/>
      <c r="K96" s="1692"/>
      <c r="L96" s="1774" t="s">
        <v>305</v>
      </c>
      <c r="M96" s="278"/>
      <c r="N96" s="271"/>
      <c r="O96" s="1540"/>
      <c r="P96" s="1540"/>
      <c r="AH96" s="1547">
        <v>0</v>
      </c>
    </row>
    <row r="97" spans="1:34" s="2360" customFormat="1" ht="18.75" hidden="1" customHeight="1">
      <c r="A97" s="1694"/>
      <c r="B97" s="1694"/>
      <c r="C97" s="305" t="s">
        <v>1307</v>
      </c>
      <c r="D97" s="2761"/>
      <c r="E97" s="2519"/>
      <c r="F97" s="2651"/>
      <c r="G97" s="2737"/>
      <c r="H97" s="1416"/>
      <c r="I97" s="587" t="s">
        <v>1306</v>
      </c>
      <c r="J97" s="507"/>
      <c r="K97" s="1416"/>
      <c r="L97" s="151"/>
      <c r="M97" s="278"/>
      <c r="N97" s="271"/>
      <c r="O97" s="1540"/>
      <c r="P97" s="1540"/>
      <c r="AH97" s="1547">
        <v>0</v>
      </c>
    </row>
    <row r="98" spans="1:34" s="2360" customFormat="1" ht="0.75" hidden="1" customHeight="1">
      <c r="A98" s="1694"/>
      <c r="B98" s="1694"/>
      <c r="C98" s="305" t="s">
        <v>1314</v>
      </c>
      <c r="D98" s="2761"/>
      <c r="E98" s="2519"/>
      <c r="F98" s="2651"/>
      <c r="G98" s="336"/>
      <c r="H98" s="1416"/>
      <c r="I98" s="587"/>
      <c r="J98" s="507"/>
      <c r="K98" s="1416"/>
      <c r="L98" s="151"/>
      <c r="M98" s="278"/>
      <c r="N98" s="271"/>
      <c r="O98" s="1540"/>
      <c r="P98" s="1540"/>
      <c r="AH98" s="1547">
        <v>0</v>
      </c>
    </row>
    <row r="99" spans="1:34" s="2360" customFormat="1" ht="18.75" hidden="1" customHeight="1">
      <c r="A99" s="1694" t="s">
        <v>180</v>
      </c>
      <c r="B99" s="1694" t="s">
        <v>181</v>
      </c>
      <c r="C99" s="305"/>
      <c r="D99" s="2761"/>
      <c r="E99" s="2519"/>
      <c r="F99" s="2651" t="str">
        <f>INDEX(PT_DIFFERENTIATION_VTAR,MATCH(A99,PT_DIFFERENTIATION_VTAR_ID,0))</f>
        <v>Тарифы на услуги по передаче тепловой энергии</v>
      </c>
      <c r="G99" s="2737" t="str">
        <f>INDEX(PT_DIFFERENTIATION_NTAR,MATCH(B99,PT_DIFFERENTIATION_NTAR_ID,0))</f>
        <v/>
      </c>
      <c r="H99" s="1774"/>
      <c r="I99" s="1654"/>
      <c r="J99" s="1688"/>
      <c r="K99" s="1692"/>
      <c r="L99" s="1774" t="s">
        <v>305</v>
      </c>
      <c r="M99" s="278"/>
      <c r="N99" s="271"/>
      <c r="O99" s="1540"/>
      <c r="P99" s="1540"/>
      <c r="AH99" s="1547">
        <v>0</v>
      </c>
    </row>
    <row r="100" spans="1:34" s="2360" customFormat="1" ht="18.75" hidden="1" customHeight="1">
      <c r="A100" s="1694"/>
      <c r="B100" s="1694"/>
      <c r="C100" s="305" t="s">
        <v>1307</v>
      </c>
      <c r="D100" s="2761"/>
      <c r="E100" s="2519"/>
      <c r="F100" s="2651"/>
      <c r="G100" s="2737"/>
      <c r="H100" s="1416"/>
      <c r="I100" s="587" t="s">
        <v>1306</v>
      </c>
      <c r="J100" s="507"/>
      <c r="K100" s="1416"/>
      <c r="L100" s="151"/>
      <c r="M100" s="278"/>
      <c r="N100" s="271"/>
      <c r="O100" s="1540"/>
      <c r="P100" s="1540"/>
      <c r="AH100" s="1547">
        <v>0</v>
      </c>
    </row>
    <row r="101" spans="1:34" s="2360" customFormat="1" ht="0.75" hidden="1" customHeight="1">
      <c r="A101" s="1694"/>
      <c r="B101" s="1694"/>
      <c r="C101" s="305" t="s">
        <v>1314</v>
      </c>
      <c r="D101" s="2761"/>
      <c r="E101" s="2519"/>
      <c r="F101" s="2651"/>
      <c r="G101" s="336"/>
      <c r="H101" s="1416"/>
      <c r="I101" s="587"/>
      <c r="J101" s="507"/>
      <c r="K101" s="1416"/>
      <c r="L101" s="151"/>
      <c r="M101" s="278"/>
      <c r="N101" s="271"/>
      <c r="O101" s="1540"/>
      <c r="P101" s="1540"/>
      <c r="AH101" s="1547">
        <v>0</v>
      </c>
    </row>
    <row r="102" spans="1:34" s="2360" customFormat="1" ht="18.75" hidden="1" customHeight="1">
      <c r="A102" s="1694" t="s">
        <v>186</v>
      </c>
      <c r="B102" s="1694" t="s">
        <v>187</v>
      </c>
      <c r="C102" s="305"/>
      <c r="D102" s="2761"/>
      <c r="E102" s="2519"/>
      <c r="F102" s="2651" t="str">
        <f>INDEX(PT_DIFFERENTIATION_VTAR,MATCH(A102,PT_DIFFERENTIATION_VTAR_ID,0))</f>
        <v>Тарифы на услуги по передаче теплоносителя</v>
      </c>
      <c r="G102" s="2737" t="str">
        <f>INDEX(PT_DIFFERENTIATION_NTAR,MATCH(B102,PT_DIFFERENTIATION_NTAR_ID,0))</f>
        <v/>
      </c>
      <c r="H102" s="1774"/>
      <c r="I102" s="1654"/>
      <c r="J102" s="1688"/>
      <c r="K102" s="1692"/>
      <c r="L102" s="1774" t="s">
        <v>305</v>
      </c>
      <c r="M102" s="278"/>
      <c r="N102" s="271"/>
      <c r="O102" s="1540"/>
      <c r="P102" s="1540"/>
      <c r="AH102" s="1547">
        <v>0</v>
      </c>
    </row>
    <row r="103" spans="1:34" s="2360" customFormat="1" ht="18.75" hidden="1" customHeight="1">
      <c r="A103" s="1694"/>
      <c r="B103" s="1694"/>
      <c r="C103" s="305" t="s">
        <v>1307</v>
      </c>
      <c r="D103" s="2761"/>
      <c r="E103" s="2519"/>
      <c r="F103" s="2651"/>
      <c r="G103" s="2737"/>
      <c r="H103" s="1416"/>
      <c r="I103" s="587" t="s">
        <v>1306</v>
      </c>
      <c r="J103" s="507"/>
      <c r="K103" s="1416"/>
      <c r="L103" s="151"/>
      <c r="M103" s="278"/>
      <c r="N103" s="271"/>
      <c r="O103" s="1540"/>
      <c r="P103" s="1540"/>
      <c r="AH103" s="1547">
        <v>0</v>
      </c>
    </row>
    <row r="104" spans="1:34" s="2360" customFormat="1" ht="0.75" hidden="1" customHeight="1">
      <c r="A104" s="1694"/>
      <c r="B104" s="1694"/>
      <c r="C104" s="305" t="s">
        <v>1314</v>
      </c>
      <c r="D104" s="2761"/>
      <c r="E104" s="2519"/>
      <c r="F104" s="2651"/>
      <c r="G104" s="336"/>
      <c r="H104" s="1416"/>
      <c r="I104" s="587"/>
      <c r="J104" s="507"/>
      <c r="K104" s="1416"/>
      <c r="L104" s="151"/>
      <c r="M104" s="278"/>
      <c r="N104" s="271"/>
      <c r="O104" s="1540"/>
      <c r="P104" s="1540"/>
      <c r="AH104" s="1547">
        <v>0</v>
      </c>
    </row>
    <row r="105" spans="1:34" s="2360" customFormat="1" ht="18.75" hidden="1" customHeight="1">
      <c r="A105" s="1694" t="s">
        <v>192</v>
      </c>
      <c r="B105" s="1694" t="s">
        <v>193</v>
      </c>
      <c r="C105" s="305"/>
      <c r="D105" s="2761"/>
      <c r="E105" s="2519"/>
      <c r="F105" s="265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37" t="str">
        <f>INDEX(PT_DIFFERENTIATION_NTAR,MATCH(B105,PT_DIFFERENTIATION_NTAR_ID,0))</f>
        <v/>
      </c>
      <c r="H105" s="1774"/>
      <c r="I105" s="1654"/>
      <c r="J105" s="1688"/>
      <c r="K105" s="1692"/>
      <c r="L105" s="1774" t="s">
        <v>305</v>
      </c>
      <c r="M105" s="278"/>
      <c r="N105" s="271"/>
      <c r="O105" s="1540"/>
      <c r="P105" s="1540"/>
      <c r="AH105" s="1547">
        <v>0</v>
      </c>
    </row>
    <row r="106" spans="1:34" s="2360" customFormat="1" ht="18.75" hidden="1" customHeight="1">
      <c r="A106" s="1694"/>
      <c r="B106" s="1694"/>
      <c r="C106" s="305" t="s">
        <v>1307</v>
      </c>
      <c r="D106" s="2761"/>
      <c r="E106" s="2519"/>
      <c r="F106" s="2651"/>
      <c r="G106" s="2737"/>
      <c r="H106" s="1416"/>
      <c r="I106" s="587" t="s">
        <v>1306</v>
      </c>
      <c r="J106" s="507"/>
      <c r="K106" s="1416"/>
      <c r="L106" s="151"/>
      <c r="M106" s="278"/>
      <c r="N106" s="271"/>
      <c r="O106" s="1540"/>
      <c r="P106" s="1540"/>
      <c r="AH106" s="1547">
        <v>0</v>
      </c>
    </row>
    <row r="107" spans="1:34" s="2360" customFormat="1" ht="0.75" hidden="1" customHeight="1">
      <c r="A107" s="1694"/>
      <c r="B107" s="1694"/>
      <c r="C107" s="305" t="s">
        <v>1314</v>
      </c>
      <c r="D107" s="2761"/>
      <c r="E107" s="2519"/>
      <c r="F107" s="2651"/>
      <c r="G107" s="336"/>
      <c r="H107" s="1416"/>
      <c r="I107" s="587"/>
      <c r="J107" s="507"/>
      <c r="K107" s="1416"/>
      <c r="L107" s="151"/>
      <c r="M107" s="278"/>
      <c r="N107" s="271"/>
      <c r="O107" s="1540"/>
      <c r="P107" s="1540"/>
      <c r="AH107" s="1547">
        <v>0</v>
      </c>
    </row>
    <row r="108" spans="1:34" s="2360" customFormat="1" ht="18.75" hidden="1" customHeight="1">
      <c r="A108" s="1694" t="s">
        <v>198</v>
      </c>
      <c r="B108" s="1694" t="s">
        <v>199</v>
      </c>
      <c r="C108" s="305"/>
      <c r="D108" s="2761"/>
      <c r="E108" s="2519"/>
      <c r="F108" s="2651" t="str">
        <f>INDEX(PT_DIFFERENTIATION_VTAR,MATCH(A108,PT_DIFFERENTIATION_VTAR_ID,0))</f>
        <v>Плата за подключение (технологическое присоединение) к системе теплоснабжения</v>
      </c>
      <c r="G108" s="2737" t="str">
        <f>INDEX(PT_DIFFERENTIATION_NTAR,MATCH(B108,PT_DIFFERENTIATION_NTAR_ID,0))</f>
        <v/>
      </c>
      <c r="H108" s="1774"/>
      <c r="I108" s="1654"/>
      <c r="J108" s="1688"/>
      <c r="K108" s="1692"/>
      <c r="L108" s="1774" t="s">
        <v>305</v>
      </c>
      <c r="M108" s="278"/>
      <c r="N108" s="271"/>
      <c r="O108" s="1540"/>
      <c r="P108" s="1540"/>
      <c r="AH108" s="1547">
        <v>0</v>
      </c>
    </row>
    <row r="109" spans="1:34" s="2360" customFormat="1" ht="18.75" hidden="1" customHeight="1">
      <c r="A109" s="1694"/>
      <c r="B109" s="1694"/>
      <c r="C109" s="305" t="s">
        <v>1307</v>
      </c>
      <c r="D109" s="2761"/>
      <c r="E109" s="2519"/>
      <c r="F109" s="2651"/>
      <c r="G109" s="2737"/>
      <c r="H109" s="1416"/>
      <c r="I109" s="587" t="s">
        <v>1306</v>
      </c>
      <c r="J109" s="507"/>
      <c r="K109" s="1416"/>
      <c r="L109" s="151"/>
      <c r="M109" s="278"/>
      <c r="N109" s="271"/>
      <c r="O109" s="1540"/>
      <c r="P109" s="1540"/>
      <c r="AH109" s="1547">
        <v>0</v>
      </c>
    </row>
    <row r="110" spans="1:34" s="2360" customFormat="1" ht="0.75" hidden="1" customHeight="1">
      <c r="A110" s="1694"/>
      <c r="B110" s="1694"/>
      <c r="C110" s="305" t="s">
        <v>1314</v>
      </c>
      <c r="D110" s="2761"/>
      <c r="E110" s="2519"/>
      <c r="F110" s="2651"/>
      <c r="G110" s="336"/>
      <c r="H110" s="1416"/>
      <c r="I110" s="587"/>
      <c r="J110" s="507"/>
      <c r="K110" s="1416"/>
      <c r="L110" s="151"/>
      <c r="M110" s="278"/>
      <c r="N110" s="271"/>
      <c r="O110" s="1540"/>
      <c r="P110" s="1540"/>
      <c r="AH110" s="1547">
        <v>0</v>
      </c>
    </row>
    <row r="111" spans="1:34" s="2360" customFormat="1" ht="18.75" hidden="1" customHeight="1">
      <c r="A111" s="1694" t="s">
        <v>204</v>
      </c>
      <c r="B111" s="1694" t="s">
        <v>205</v>
      </c>
      <c r="C111" s="305"/>
      <c r="D111" s="2761"/>
      <c r="E111" s="2519"/>
      <c r="F111" s="2651" t="str">
        <f>INDEX(PT_DIFFERENTIATION_VTAR,MATCH(A111,PT_DIFFERENTIATION_VTAR_ID,0))</f>
        <v>Плата за подключение (технологическое присоединение) к системе теплоснабжения (индивидуальная)</v>
      </c>
      <c r="G111" s="2737" t="str">
        <f>INDEX(PT_DIFFERENTIATION_NTAR,MATCH(B111,PT_DIFFERENTIATION_NTAR_ID,0))</f>
        <v/>
      </c>
      <c r="H111" s="1898"/>
      <c r="I111" s="1654"/>
      <c r="J111" s="1688"/>
      <c r="K111" s="1692"/>
      <c r="L111" s="1898" t="s">
        <v>305</v>
      </c>
      <c r="M111" s="278"/>
      <c r="N111" s="271"/>
      <c r="O111" s="1540"/>
      <c r="P111" s="1540"/>
      <c r="AH111" s="1547">
        <v>0</v>
      </c>
    </row>
    <row r="112" spans="1:34" s="2360" customFormat="1" ht="18.75" hidden="1" customHeight="1">
      <c r="A112" s="1694"/>
      <c r="B112" s="1694"/>
      <c r="C112" s="305" t="s">
        <v>1307</v>
      </c>
      <c r="D112" s="2761"/>
      <c r="E112" s="2519"/>
      <c r="F112" s="2651"/>
      <c r="G112" s="2737"/>
      <c r="H112" s="1416"/>
      <c r="I112" s="587" t="s">
        <v>1306</v>
      </c>
      <c r="J112" s="507"/>
      <c r="K112" s="1416"/>
      <c r="L112" s="151"/>
      <c r="M112" s="278"/>
      <c r="N112" s="271"/>
      <c r="O112" s="1540"/>
      <c r="P112" s="1540"/>
      <c r="AH112" s="1547">
        <v>0</v>
      </c>
    </row>
    <row r="113" spans="1:34" s="2360" customFormat="1" ht="0.75" hidden="1" customHeight="1">
      <c r="A113" s="1694"/>
      <c r="B113" s="1694"/>
      <c r="C113" s="305" t="s">
        <v>1314</v>
      </c>
      <c r="D113" s="2761"/>
      <c r="E113" s="2519"/>
      <c r="F113" s="2651"/>
      <c r="G113" s="336"/>
      <c r="H113" s="1416"/>
      <c r="I113" s="587"/>
      <c r="J113" s="507"/>
      <c r="K113" s="1416"/>
      <c r="L113" s="151"/>
      <c r="M113" s="278"/>
      <c r="N113" s="271"/>
      <c r="O113" s="1540"/>
      <c r="P113" s="1540"/>
      <c r="AH113" s="1547">
        <v>0</v>
      </c>
    </row>
    <row r="114" spans="1:34" s="2360" customFormat="1" ht="18.75" hidden="1" customHeight="1">
      <c r="A114" s="1694" t="s">
        <v>224</v>
      </c>
      <c r="B114" s="1694" t="s">
        <v>225</v>
      </c>
      <c r="C114" s="305"/>
      <c r="D114" s="2761"/>
      <c r="E114" s="2519"/>
      <c r="F114" s="2651" t="str">
        <f>INDEX(PT_DIFFERENTIATION_VTAR,MATCH(A114,PT_DIFFERENTIATION_VTAR_ID,0))</f>
        <v>Тариф на питьевую воду (питьевое водоснабжение)</v>
      </c>
      <c r="G114" s="2737" t="str">
        <f>INDEX(PT_DIFFERENTIATION_NTAR,MATCH(B114,PT_DIFFERENTIATION_NTAR_ID,0))</f>
        <v/>
      </c>
      <c r="H114" s="1774"/>
      <c r="I114" s="1654"/>
      <c r="J114" s="1688"/>
      <c r="K114" s="1692"/>
      <c r="L114" s="1774" t="s">
        <v>305</v>
      </c>
      <c r="M114" s="278"/>
      <c r="N114" s="271"/>
      <c r="O114" s="1540"/>
      <c r="P114" s="1540"/>
      <c r="AH114" s="1547">
        <v>0</v>
      </c>
    </row>
    <row r="115" spans="1:34" s="2360" customFormat="1" ht="18.75" hidden="1" customHeight="1">
      <c r="A115" s="1694"/>
      <c r="B115" s="1694"/>
      <c r="C115" s="305" t="s">
        <v>1307</v>
      </c>
      <c r="D115" s="2761"/>
      <c r="E115" s="2519"/>
      <c r="F115" s="2651"/>
      <c r="G115" s="2737"/>
      <c r="H115" s="1416"/>
      <c r="I115" s="587" t="s">
        <v>1306</v>
      </c>
      <c r="J115" s="507"/>
      <c r="K115" s="1416"/>
      <c r="L115" s="151"/>
      <c r="M115" s="278"/>
      <c r="N115" s="271"/>
      <c r="O115" s="1540"/>
      <c r="P115" s="1540"/>
      <c r="AH115" s="1547">
        <v>0</v>
      </c>
    </row>
    <row r="116" spans="1:34" s="2360" customFormat="1" ht="0.75" hidden="1" customHeight="1">
      <c r="A116" s="1694"/>
      <c r="B116" s="1694"/>
      <c r="C116" s="305" t="s">
        <v>1314</v>
      </c>
      <c r="D116" s="2761"/>
      <c r="E116" s="2519"/>
      <c r="F116" s="2651"/>
      <c r="G116" s="336"/>
      <c r="H116" s="1416"/>
      <c r="I116" s="587"/>
      <c r="J116" s="507"/>
      <c r="K116" s="1416"/>
      <c r="L116" s="151"/>
      <c r="M116" s="278"/>
      <c r="N116" s="271"/>
      <c r="O116" s="1540"/>
      <c r="P116" s="1540"/>
      <c r="AH116" s="1547">
        <v>0</v>
      </c>
    </row>
    <row r="117" spans="1:34" s="2360" customFormat="1" ht="18.75" hidden="1" customHeight="1">
      <c r="A117" s="1694" t="s">
        <v>229</v>
      </c>
      <c r="B117" s="1694" t="s">
        <v>230</v>
      </c>
      <c r="C117" s="305"/>
      <c r="D117" s="2761"/>
      <c r="E117" s="2519"/>
      <c r="F117" s="2651" t="str">
        <f>INDEX(PT_DIFFERENTIATION_VTAR,MATCH(A117,PT_DIFFERENTIATION_VTAR_ID,0))</f>
        <v>Тариф на техническую воду</v>
      </c>
      <c r="G117" s="2737" t="str">
        <f>INDEX(PT_DIFFERENTIATION_NTAR,MATCH(B117,PT_DIFFERENTIATION_NTAR_ID,0))</f>
        <v/>
      </c>
      <c r="H117" s="1774"/>
      <c r="I117" s="1654"/>
      <c r="J117" s="1688"/>
      <c r="K117" s="1692"/>
      <c r="L117" s="1774" t="s">
        <v>305</v>
      </c>
      <c r="M117" s="278"/>
      <c r="N117" s="271"/>
      <c r="O117" s="1540"/>
      <c r="P117" s="1540"/>
      <c r="AH117" s="1547">
        <v>0</v>
      </c>
    </row>
    <row r="118" spans="1:34" s="2360" customFormat="1" ht="18.75" hidden="1" customHeight="1">
      <c r="A118" s="1694"/>
      <c r="B118" s="1694"/>
      <c r="C118" s="305" t="s">
        <v>1307</v>
      </c>
      <c r="D118" s="2761"/>
      <c r="E118" s="2519"/>
      <c r="F118" s="2651"/>
      <c r="G118" s="2737"/>
      <c r="H118" s="1416"/>
      <c r="I118" s="587" t="s">
        <v>1306</v>
      </c>
      <c r="J118" s="507"/>
      <c r="K118" s="1416"/>
      <c r="L118" s="151"/>
      <c r="M118" s="278"/>
      <c r="N118" s="271"/>
      <c r="O118" s="1540"/>
      <c r="P118" s="1540"/>
      <c r="AH118" s="1547">
        <v>0</v>
      </c>
    </row>
    <row r="119" spans="1:34" s="2360" customFormat="1" ht="0.75" hidden="1" customHeight="1">
      <c r="A119" s="1694"/>
      <c r="B119" s="1694"/>
      <c r="C119" s="305" t="s">
        <v>1314</v>
      </c>
      <c r="D119" s="2761"/>
      <c r="E119" s="2519"/>
      <c r="F119" s="2651"/>
      <c r="G119" s="336"/>
      <c r="H119" s="1416"/>
      <c r="I119" s="587"/>
      <c r="J119" s="507"/>
      <c r="K119" s="1416"/>
      <c r="L119" s="151"/>
      <c r="M119" s="278"/>
      <c r="N119" s="271"/>
      <c r="O119" s="1540"/>
      <c r="P119" s="1540"/>
      <c r="AH119" s="1547">
        <v>0</v>
      </c>
    </row>
    <row r="120" spans="1:34" s="2360" customFormat="1" ht="18.75" hidden="1" customHeight="1">
      <c r="A120" s="1694" t="s">
        <v>234</v>
      </c>
      <c r="B120" s="1694" t="s">
        <v>235</v>
      </c>
      <c r="C120" s="305"/>
      <c r="D120" s="2761"/>
      <c r="E120" s="2519"/>
      <c r="F120" s="2651" t="str">
        <f>INDEX(PT_DIFFERENTIATION_VTAR,MATCH(A120,PT_DIFFERENTIATION_VTAR_ID,0))</f>
        <v>Тариф на транспортировку воды</v>
      </c>
      <c r="G120" s="2737" t="str">
        <f>INDEX(PT_DIFFERENTIATION_NTAR,MATCH(B120,PT_DIFFERENTIATION_NTAR_ID,0))</f>
        <v/>
      </c>
      <c r="H120" s="1774"/>
      <c r="I120" s="1654"/>
      <c r="J120" s="1688"/>
      <c r="K120" s="1692"/>
      <c r="L120" s="1774" t="s">
        <v>305</v>
      </c>
      <c r="M120" s="278"/>
      <c r="N120" s="271"/>
      <c r="O120" s="1540"/>
      <c r="P120" s="1540"/>
      <c r="AH120" s="1547">
        <v>0</v>
      </c>
    </row>
    <row r="121" spans="1:34" s="2360" customFormat="1" ht="18.75" hidden="1" customHeight="1">
      <c r="A121" s="1694"/>
      <c r="B121" s="1694"/>
      <c r="C121" s="305" t="s">
        <v>1307</v>
      </c>
      <c r="D121" s="2761"/>
      <c r="E121" s="2519"/>
      <c r="F121" s="2651"/>
      <c r="G121" s="2737"/>
      <c r="H121" s="1416"/>
      <c r="I121" s="587" t="s">
        <v>1306</v>
      </c>
      <c r="J121" s="507"/>
      <c r="K121" s="1416"/>
      <c r="L121" s="151"/>
      <c r="M121" s="278"/>
      <c r="N121" s="271"/>
      <c r="O121" s="1540"/>
      <c r="P121" s="1540"/>
      <c r="AH121" s="1547">
        <v>0</v>
      </c>
    </row>
    <row r="122" spans="1:34" s="2360" customFormat="1" ht="0.75" hidden="1" customHeight="1">
      <c r="A122" s="1694"/>
      <c r="B122" s="1694"/>
      <c r="C122" s="305" t="s">
        <v>1314</v>
      </c>
      <c r="D122" s="2761"/>
      <c r="E122" s="2519"/>
      <c r="F122" s="2651"/>
      <c r="G122" s="336"/>
      <c r="H122" s="1416"/>
      <c r="I122" s="587"/>
      <c r="J122" s="507"/>
      <c r="K122" s="1416"/>
      <c r="L122" s="151"/>
      <c r="M122" s="278"/>
      <c r="N122" s="271"/>
      <c r="O122" s="1540"/>
      <c r="P122" s="1540"/>
      <c r="AH122" s="1547">
        <v>0</v>
      </c>
    </row>
    <row r="123" spans="1:34" s="2360" customFormat="1" ht="18.75" hidden="1" customHeight="1">
      <c r="A123" s="1694" t="s">
        <v>239</v>
      </c>
      <c r="B123" s="1694" t="s">
        <v>240</v>
      </c>
      <c r="C123" s="305"/>
      <c r="D123" s="2761"/>
      <c r="E123" s="2519"/>
      <c r="F123" s="2651" t="str">
        <f>INDEX(PT_DIFFERENTIATION_VTAR,MATCH(A123,PT_DIFFERENTIATION_VTAR_ID,0))</f>
        <v>Тариф на подвоз воды</v>
      </c>
      <c r="G123" s="2737" t="str">
        <f>INDEX(PT_DIFFERENTIATION_NTAR,MATCH(B123,PT_DIFFERENTIATION_NTAR_ID,0))</f>
        <v/>
      </c>
      <c r="H123" s="1774"/>
      <c r="I123" s="1654"/>
      <c r="J123" s="1688"/>
      <c r="K123" s="1692"/>
      <c r="L123" s="1774" t="s">
        <v>305</v>
      </c>
      <c r="M123" s="278"/>
      <c r="N123" s="271"/>
      <c r="O123" s="1540"/>
      <c r="P123" s="1540"/>
      <c r="AH123" s="1547">
        <v>0</v>
      </c>
    </row>
    <row r="124" spans="1:34" s="2360" customFormat="1" ht="18.75" hidden="1" customHeight="1">
      <c r="A124" s="1694"/>
      <c r="B124" s="1694"/>
      <c r="C124" s="305" t="s">
        <v>1307</v>
      </c>
      <c r="D124" s="2761"/>
      <c r="E124" s="2519"/>
      <c r="F124" s="2651"/>
      <c r="G124" s="2737"/>
      <c r="H124" s="1416"/>
      <c r="I124" s="587" t="s">
        <v>1306</v>
      </c>
      <c r="J124" s="507"/>
      <c r="K124" s="1416"/>
      <c r="L124" s="151"/>
      <c r="M124" s="278"/>
      <c r="N124" s="271"/>
      <c r="O124" s="1540"/>
      <c r="P124" s="1540"/>
      <c r="AH124" s="1547">
        <v>0</v>
      </c>
    </row>
    <row r="125" spans="1:34" s="2360" customFormat="1" ht="0.75" hidden="1" customHeight="1">
      <c r="A125" s="1694"/>
      <c r="B125" s="1694"/>
      <c r="C125" s="305" t="s">
        <v>1314</v>
      </c>
      <c r="D125" s="2761"/>
      <c r="E125" s="2519"/>
      <c r="F125" s="2651"/>
      <c r="G125" s="336"/>
      <c r="H125" s="1416"/>
      <c r="I125" s="587"/>
      <c r="J125" s="507"/>
      <c r="K125" s="1416"/>
      <c r="L125" s="151"/>
      <c r="M125" s="278"/>
      <c r="N125" s="271"/>
      <c r="O125" s="1540"/>
      <c r="P125" s="1540"/>
      <c r="AH125" s="1547">
        <v>0</v>
      </c>
    </row>
    <row r="126" spans="1:34" s="2360" customFormat="1" ht="18.75" hidden="1" customHeight="1">
      <c r="A126" s="1694" t="s">
        <v>244</v>
      </c>
      <c r="B126" s="1694" t="s">
        <v>245</v>
      </c>
      <c r="C126" s="305"/>
      <c r="D126" s="2761"/>
      <c r="E126" s="2519"/>
      <c r="F126" s="265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37" t="str">
        <f>INDEX(PT_DIFFERENTIATION_NTAR,MATCH(B126,PT_DIFFERENTIATION_NTAR_ID,0))</f>
        <v/>
      </c>
      <c r="H126" s="1774"/>
      <c r="I126" s="1654"/>
      <c r="J126" s="1688"/>
      <c r="K126" s="1692"/>
      <c r="L126" s="1774" t="s">
        <v>305</v>
      </c>
      <c r="M126" s="278"/>
      <c r="N126" s="271"/>
      <c r="O126" s="1540"/>
      <c r="P126" s="1540"/>
      <c r="AH126" s="1547">
        <v>0</v>
      </c>
    </row>
    <row r="127" spans="1:34" s="2360" customFormat="1" ht="18.75" hidden="1" customHeight="1">
      <c r="A127" s="1694"/>
      <c r="B127" s="1694"/>
      <c r="C127" s="305" t="s">
        <v>1307</v>
      </c>
      <c r="D127" s="2761"/>
      <c r="E127" s="2519"/>
      <c r="F127" s="2651"/>
      <c r="G127" s="2737"/>
      <c r="H127" s="1416"/>
      <c r="I127" s="587" t="s">
        <v>1306</v>
      </c>
      <c r="J127" s="507"/>
      <c r="K127" s="1416"/>
      <c r="L127" s="151"/>
      <c r="M127" s="278"/>
      <c r="N127" s="271"/>
      <c r="O127" s="1540"/>
      <c r="P127" s="1540"/>
      <c r="AH127" s="1547">
        <v>0</v>
      </c>
    </row>
    <row r="128" spans="1:34" s="2360" customFormat="1" ht="0.75" hidden="1" customHeight="1">
      <c r="A128" s="1694"/>
      <c r="B128" s="1694"/>
      <c r="C128" s="305" t="s">
        <v>1314</v>
      </c>
      <c r="D128" s="2761"/>
      <c r="E128" s="2519"/>
      <c r="F128" s="2651"/>
      <c r="G128" s="336"/>
      <c r="H128" s="1416"/>
      <c r="I128" s="587"/>
      <c r="J128" s="507"/>
      <c r="K128" s="1416"/>
      <c r="L128" s="151"/>
      <c r="M128" s="278"/>
      <c r="N128" s="271"/>
      <c r="O128" s="1540"/>
      <c r="P128" s="1540"/>
      <c r="AH128" s="1547">
        <v>0</v>
      </c>
    </row>
    <row r="129" spans="1:34" s="2360" customFormat="1" ht="18.75" hidden="1" customHeight="1">
      <c r="A129" s="1694" t="s">
        <v>249</v>
      </c>
      <c r="B129" s="1694" t="s">
        <v>250</v>
      </c>
      <c r="C129" s="305"/>
      <c r="D129" s="2761"/>
      <c r="E129" s="2519"/>
      <c r="F129" s="2651" t="str">
        <f>INDEX(PT_DIFFERENTIATION_VTAR,MATCH(A129,PT_DIFFERENTIATION_VTAR_ID,0))</f>
        <v>Тариф на горячую воду (горячее водоснабжение)</v>
      </c>
      <c r="G129" s="2737" t="str">
        <f>INDEX(PT_DIFFERENTIATION_NTAR,MATCH(B129,PT_DIFFERENTIATION_NTAR_ID,0))</f>
        <v/>
      </c>
      <c r="H129" s="1774"/>
      <c r="I129" s="1654"/>
      <c r="J129" s="1688"/>
      <c r="K129" s="1692"/>
      <c r="L129" s="1774" t="s">
        <v>305</v>
      </c>
      <c r="M129" s="278"/>
      <c r="N129" s="271"/>
      <c r="O129" s="1540"/>
      <c r="P129" s="1540"/>
      <c r="AH129" s="1547">
        <v>0</v>
      </c>
    </row>
    <row r="130" spans="1:34" s="2360" customFormat="1" ht="18.75" hidden="1" customHeight="1">
      <c r="A130" s="1694"/>
      <c r="B130" s="1694"/>
      <c r="C130" s="305" t="s">
        <v>1307</v>
      </c>
      <c r="D130" s="2761"/>
      <c r="E130" s="2519"/>
      <c r="F130" s="2651"/>
      <c r="G130" s="2737"/>
      <c r="H130" s="1416"/>
      <c r="I130" s="587" t="s">
        <v>1306</v>
      </c>
      <c r="J130" s="507"/>
      <c r="K130" s="1416"/>
      <c r="L130" s="151"/>
      <c r="M130" s="278"/>
      <c r="N130" s="271"/>
      <c r="O130" s="1540"/>
      <c r="P130" s="1540"/>
      <c r="AH130" s="1547">
        <v>0</v>
      </c>
    </row>
    <row r="131" spans="1:34" s="2360" customFormat="1" ht="0.75" hidden="1" customHeight="1">
      <c r="A131" s="1694"/>
      <c r="B131" s="1694"/>
      <c r="C131" s="305" t="s">
        <v>1314</v>
      </c>
      <c r="D131" s="2761"/>
      <c r="E131" s="2519"/>
      <c r="F131" s="2651"/>
      <c r="G131" s="336"/>
      <c r="H131" s="1416"/>
      <c r="I131" s="587"/>
      <c r="J131" s="507"/>
      <c r="K131" s="1416"/>
      <c r="L131" s="151"/>
      <c r="M131" s="278"/>
      <c r="N131" s="271"/>
      <c r="O131" s="1540"/>
      <c r="P131" s="1540"/>
      <c r="AH131" s="1547">
        <v>0</v>
      </c>
    </row>
    <row r="132" spans="1:34" s="2360" customFormat="1" ht="18.75" hidden="1" customHeight="1">
      <c r="A132" s="1694" t="s">
        <v>254</v>
      </c>
      <c r="B132" s="1694" t="s">
        <v>255</v>
      </c>
      <c r="C132" s="305"/>
      <c r="D132" s="2761"/>
      <c r="E132" s="2519"/>
      <c r="F132" s="2651" t="str">
        <f>INDEX(PT_DIFFERENTIATION_VTAR,MATCH(A132,PT_DIFFERENTIATION_VTAR_ID,0))</f>
        <v>Тариф на транспортировку горячей воды</v>
      </c>
      <c r="G132" s="2737" t="str">
        <f>INDEX(PT_DIFFERENTIATION_NTAR,MATCH(B132,PT_DIFFERENTIATION_NTAR_ID,0))</f>
        <v/>
      </c>
      <c r="H132" s="1774"/>
      <c r="I132" s="1654"/>
      <c r="J132" s="1688"/>
      <c r="K132" s="1692"/>
      <c r="L132" s="1774" t="s">
        <v>305</v>
      </c>
      <c r="M132" s="278"/>
      <c r="N132" s="271"/>
      <c r="O132" s="1540"/>
      <c r="P132" s="1540"/>
      <c r="AH132" s="1547">
        <v>0</v>
      </c>
    </row>
    <row r="133" spans="1:34" s="2360" customFormat="1" ht="18.75" hidden="1" customHeight="1">
      <c r="A133" s="1694"/>
      <c r="B133" s="1694"/>
      <c r="C133" s="305" t="s">
        <v>1307</v>
      </c>
      <c r="D133" s="2761"/>
      <c r="E133" s="2519"/>
      <c r="F133" s="2651"/>
      <c r="G133" s="2737"/>
      <c r="H133" s="1416"/>
      <c r="I133" s="587" t="s">
        <v>1306</v>
      </c>
      <c r="J133" s="507"/>
      <c r="K133" s="1416"/>
      <c r="L133" s="151"/>
      <c r="M133" s="278"/>
      <c r="N133" s="271"/>
      <c r="O133" s="1540"/>
      <c r="P133" s="1540"/>
      <c r="AH133" s="1547">
        <v>0</v>
      </c>
    </row>
    <row r="134" spans="1:34" s="2360" customFormat="1" ht="0.75" hidden="1" customHeight="1">
      <c r="A134" s="1694"/>
      <c r="B134" s="1694"/>
      <c r="C134" s="305" t="s">
        <v>1314</v>
      </c>
      <c r="D134" s="2761"/>
      <c r="E134" s="2519"/>
      <c r="F134" s="2651"/>
      <c r="G134" s="336"/>
      <c r="H134" s="1416"/>
      <c r="I134" s="587"/>
      <c r="J134" s="507"/>
      <c r="K134" s="1416"/>
      <c r="L134" s="151"/>
      <c r="M134" s="278"/>
      <c r="N134" s="271"/>
      <c r="O134" s="1540"/>
      <c r="P134" s="1540"/>
      <c r="AH134" s="1547">
        <v>0</v>
      </c>
    </row>
    <row r="135" spans="1:34" s="2360" customFormat="1" ht="18.75" hidden="1" customHeight="1">
      <c r="A135" s="1694" t="s">
        <v>259</v>
      </c>
      <c r="B135" s="1694" t="s">
        <v>260</v>
      </c>
      <c r="C135" s="305"/>
      <c r="D135" s="2761"/>
      <c r="E135" s="2519"/>
      <c r="F135" s="265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37" t="str">
        <f>INDEX(PT_DIFFERENTIATION_NTAR,MATCH(B135,PT_DIFFERENTIATION_NTAR_ID,0))</f>
        <v/>
      </c>
      <c r="H135" s="1774"/>
      <c r="I135" s="1654"/>
      <c r="J135" s="1688"/>
      <c r="K135" s="1692"/>
      <c r="L135" s="1774" t="s">
        <v>305</v>
      </c>
      <c r="M135" s="278"/>
      <c r="N135" s="271"/>
      <c r="O135" s="1540"/>
      <c r="P135" s="1540"/>
      <c r="AH135" s="1547">
        <v>0</v>
      </c>
    </row>
    <row r="136" spans="1:34" s="2360" customFormat="1" ht="18.75" hidden="1" customHeight="1">
      <c r="A136" s="1694"/>
      <c r="B136" s="1694"/>
      <c r="C136" s="305" t="s">
        <v>1307</v>
      </c>
      <c r="D136" s="2761"/>
      <c r="E136" s="2519"/>
      <c r="F136" s="2651"/>
      <c r="G136" s="2737"/>
      <c r="H136" s="1416"/>
      <c r="I136" s="587" t="s">
        <v>1306</v>
      </c>
      <c r="J136" s="507"/>
      <c r="K136" s="1416"/>
      <c r="L136" s="151"/>
      <c r="M136" s="278"/>
      <c r="N136" s="271"/>
      <c r="O136" s="1540"/>
      <c r="P136" s="1540"/>
      <c r="AH136" s="1547">
        <v>0</v>
      </c>
    </row>
    <row r="137" spans="1:34" s="2360" customFormat="1" ht="0.75" hidden="1" customHeight="1">
      <c r="A137" s="1694"/>
      <c r="B137" s="1694"/>
      <c r="C137" s="305" t="s">
        <v>1314</v>
      </c>
      <c r="D137" s="2761"/>
      <c r="E137" s="2519"/>
      <c r="F137" s="2651"/>
      <c r="G137" s="336"/>
      <c r="H137" s="1416"/>
      <c r="I137" s="587"/>
      <c r="J137" s="507"/>
      <c r="K137" s="1416"/>
      <c r="L137" s="151"/>
      <c r="M137" s="278"/>
      <c r="N137" s="271"/>
      <c r="O137" s="1540"/>
      <c r="P137" s="1540"/>
      <c r="AH137" s="1547">
        <v>0</v>
      </c>
    </row>
    <row r="138" spans="1:34" s="2360" customFormat="1" ht="18.75" hidden="1" customHeight="1">
      <c r="A138" s="1694" t="s">
        <v>264</v>
      </c>
      <c r="B138" s="1694" t="s">
        <v>265</v>
      </c>
      <c r="C138" s="305"/>
      <c r="D138" s="2761"/>
      <c r="E138" s="2519"/>
      <c r="F138" s="2651" t="str">
        <f>INDEX(PT_DIFFERENTIATION_VTAR,MATCH(A138,PT_DIFFERENTIATION_VTAR_ID,0))</f>
        <v>Тариф на водоотведение</v>
      </c>
      <c r="G138" s="2737" t="str">
        <f>INDEX(PT_DIFFERENTIATION_NTAR,MATCH(B138,PT_DIFFERENTIATION_NTAR_ID,0))</f>
        <v/>
      </c>
      <c r="H138" s="1774"/>
      <c r="I138" s="1654"/>
      <c r="J138" s="1688"/>
      <c r="K138" s="1692"/>
      <c r="L138" s="1774" t="s">
        <v>305</v>
      </c>
      <c r="M138" s="278"/>
      <c r="N138" s="271"/>
      <c r="O138" s="1540"/>
      <c r="P138" s="1540"/>
      <c r="AH138" s="1547">
        <v>0</v>
      </c>
    </row>
    <row r="139" spans="1:34" s="2360" customFormat="1" ht="18.75" hidden="1" customHeight="1">
      <c r="A139" s="1694"/>
      <c r="B139" s="1694"/>
      <c r="C139" s="305" t="s">
        <v>1307</v>
      </c>
      <c r="D139" s="2761"/>
      <c r="E139" s="2519"/>
      <c r="F139" s="2651"/>
      <c r="G139" s="2737"/>
      <c r="H139" s="1416"/>
      <c r="I139" s="587" t="s">
        <v>1306</v>
      </c>
      <c r="J139" s="507"/>
      <c r="K139" s="1416"/>
      <c r="L139" s="151"/>
      <c r="M139" s="278"/>
      <c r="N139" s="271"/>
      <c r="O139" s="1540"/>
      <c r="P139" s="1540"/>
      <c r="AH139" s="1547">
        <v>0</v>
      </c>
    </row>
    <row r="140" spans="1:34" s="2360" customFormat="1" ht="0.75" hidden="1" customHeight="1">
      <c r="A140" s="1694"/>
      <c r="B140" s="1694"/>
      <c r="C140" s="305" t="s">
        <v>1314</v>
      </c>
      <c r="D140" s="2761"/>
      <c r="E140" s="2519"/>
      <c r="F140" s="2651"/>
      <c r="G140" s="336"/>
      <c r="H140" s="1416"/>
      <c r="I140" s="587"/>
      <c r="J140" s="507"/>
      <c r="K140" s="1416"/>
      <c r="L140" s="151"/>
      <c r="M140" s="278"/>
      <c r="N140" s="271"/>
      <c r="O140" s="1540"/>
      <c r="P140" s="1540"/>
      <c r="AH140" s="1547">
        <v>0</v>
      </c>
    </row>
    <row r="141" spans="1:34" s="2360" customFormat="1" ht="18.75" hidden="1" customHeight="1">
      <c r="A141" s="1694" t="s">
        <v>269</v>
      </c>
      <c r="B141" s="1694" t="s">
        <v>270</v>
      </c>
      <c r="C141" s="305"/>
      <c r="D141" s="2761"/>
      <c r="E141" s="2519"/>
      <c r="F141" s="2651" t="str">
        <f>INDEX(PT_DIFFERENTIATION_VTAR,MATCH(A141,PT_DIFFERENTIATION_VTAR_ID,0))</f>
        <v>Тариф на транспортировку сточных вод</v>
      </c>
      <c r="G141" s="2737" t="str">
        <f>INDEX(PT_DIFFERENTIATION_NTAR,MATCH(B141,PT_DIFFERENTIATION_NTAR_ID,0))</f>
        <v/>
      </c>
      <c r="H141" s="1774"/>
      <c r="I141" s="1654"/>
      <c r="J141" s="1688"/>
      <c r="K141" s="1692"/>
      <c r="L141" s="1774" t="s">
        <v>305</v>
      </c>
      <c r="M141" s="278"/>
      <c r="N141" s="271"/>
      <c r="O141" s="1540"/>
      <c r="P141" s="1540"/>
      <c r="AH141" s="1547">
        <v>0</v>
      </c>
    </row>
    <row r="142" spans="1:34" s="2360" customFormat="1" ht="18.75" hidden="1" customHeight="1">
      <c r="A142" s="1694"/>
      <c r="B142" s="1694"/>
      <c r="C142" s="305" t="s">
        <v>1307</v>
      </c>
      <c r="D142" s="2761"/>
      <c r="E142" s="2519"/>
      <c r="F142" s="2651"/>
      <c r="G142" s="2737"/>
      <c r="H142" s="1416"/>
      <c r="I142" s="587" t="s">
        <v>1306</v>
      </c>
      <c r="J142" s="507"/>
      <c r="K142" s="1416"/>
      <c r="L142" s="151"/>
      <c r="M142" s="278"/>
      <c r="N142" s="271"/>
      <c r="O142" s="1540"/>
      <c r="P142" s="1540"/>
      <c r="AH142" s="1547">
        <v>0</v>
      </c>
    </row>
    <row r="143" spans="1:34" s="2360" customFormat="1" ht="0.75" hidden="1" customHeight="1">
      <c r="A143" s="1694"/>
      <c r="B143" s="1694"/>
      <c r="C143" s="305" t="s">
        <v>1314</v>
      </c>
      <c r="D143" s="2761"/>
      <c r="E143" s="2519"/>
      <c r="F143" s="2651"/>
      <c r="G143" s="336"/>
      <c r="H143" s="1416"/>
      <c r="I143" s="587"/>
      <c r="J143" s="507"/>
      <c r="K143" s="1416"/>
      <c r="L143" s="151"/>
      <c r="M143" s="278"/>
      <c r="N143" s="271"/>
      <c r="O143" s="1540"/>
      <c r="P143" s="1540"/>
      <c r="AH143" s="1547">
        <v>0</v>
      </c>
    </row>
    <row r="144" spans="1:34" s="2360" customFormat="1" ht="18.75" hidden="1" customHeight="1">
      <c r="A144" s="1694" t="s">
        <v>274</v>
      </c>
      <c r="B144" s="1694" t="s">
        <v>275</v>
      </c>
      <c r="C144" s="305"/>
      <c r="D144" s="2761"/>
      <c r="E144" s="2519"/>
      <c r="F144" s="2651" t="str">
        <f>INDEX(PT_DIFFERENTIATION_VTAR,MATCH(A144,PT_DIFFERENTIATION_VTAR_ID,0))</f>
        <v>Тариф на подключение (технологическое присоединение) к централизованной системе водоотведения</v>
      </c>
      <c r="G144" s="2737" t="str">
        <f>INDEX(PT_DIFFERENTIATION_NTAR,MATCH(B144,PT_DIFFERENTIATION_NTAR_ID,0))</f>
        <v/>
      </c>
      <c r="H144" s="1774"/>
      <c r="I144" s="1654"/>
      <c r="J144" s="1688"/>
      <c r="K144" s="1692"/>
      <c r="L144" s="1774" t="s">
        <v>305</v>
      </c>
      <c r="M144" s="278"/>
      <c r="N144" s="271"/>
      <c r="O144" s="1540"/>
      <c r="P144" s="1540"/>
      <c r="AH144" s="1547">
        <v>0</v>
      </c>
    </row>
    <row r="145" spans="1:34" s="2360" customFormat="1" ht="18.75" hidden="1" customHeight="1">
      <c r="A145" s="1694"/>
      <c r="B145" s="1694"/>
      <c r="C145" s="305" t="s">
        <v>1307</v>
      </c>
      <c r="D145" s="2761"/>
      <c r="E145" s="2519"/>
      <c r="F145" s="2651"/>
      <c r="G145" s="2737"/>
      <c r="H145" s="1416"/>
      <c r="I145" s="587" t="s">
        <v>1306</v>
      </c>
      <c r="J145" s="507"/>
      <c r="K145" s="1416"/>
      <c r="L145" s="151"/>
      <c r="M145" s="278"/>
      <c r="N145" s="271"/>
      <c r="O145" s="1540"/>
      <c r="P145" s="1540"/>
      <c r="AH145" s="1547">
        <v>0</v>
      </c>
    </row>
    <row r="146" spans="1:34" s="2360" customFormat="1" ht="1.1499999999999999" customHeight="1">
      <c r="A146" s="1694"/>
      <c r="B146" s="1694"/>
      <c r="C146" s="305" t="s">
        <v>1314</v>
      </c>
      <c r="D146" s="2761"/>
      <c r="E146" s="2519"/>
      <c r="F146" s="2651"/>
      <c r="G146" s="336"/>
      <c r="H146" s="1416"/>
      <c r="I146" s="587"/>
      <c r="J146" s="507"/>
      <c r="K146" s="1416"/>
      <c r="L146" s="151"/>
      <c r="M146" s="278"/>
      <c r="N146" s="271"/>
      <c r="O146" s="1540"/>
      <c r="P146" s="1540"/>
      <c r="AH146" s="1547">
        <v>1</v>
      </c>
    </row>
    <row r="147" spans="1:34" ht="19.899999999999999" customHeight="1">
      <c r="A147" s="1694"/>
      <c r="B147" s="1694"/>
      <c r="D147" s="312"/>
      <c r="E147" s="85" t="s">
        <v>91</v>
      </c>
      <c r="F147" s="276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760"/>
      <c r="H147" s="2760"/>
      <c r="I147" s="2760"/>
      <c r="J147" s="2760"/>
      <c r="K147" s="2760"/>
      <c r="L147" s="2760"/>
      <c r="M147" s="234"/>
      <c r="N147" s="271"/>
      <c r="AH147" s="310">
        <v>19</v>
      </c>
    </row>
    <row r="148" spans="1:34" s="2360" customFormat="1" ht="60.75" hidden="1" customHeight="1">
      <c r="A148" s="1694" t="s">
        <v>156</v>
      </c>
      <c r="B148" s="1694" t="s">
        <v>157</v>
      </c>
      <c r="C148" s="305"/>
      <c r="D148" s="2761"/>
      <c r="E148" s="2519"/>
      <c r="F148" s="265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37" t="str">
        <f>INDEX(PT_DIFFERENTIATION_NTAR,MATCH(B148,PT_DIFFERENTIATION_NTAR_ID,0))</f>
        <v/>
      </c>
      <c r="H148" s="1774"/>
      <c r="I148" s="1654"/>
      <c r="J148" s="1688"/>
      <c r="K148" s="1692"/>
      <c r="L148" s="1774" t="s">
        <v>305</v>
      </c>
      <c r="M148" s="24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0"/>
      <c r="P148" s="1540"/>
      <c r="AH148" s="1547">
        <v>0</v>
      </c>
    </row>
    <row r="149" spans="1:34" s="2360" customFormat="1" ht="18.75" hidden="1" customHeight="1">
      <c r="A149" s="1694"/>
      <c r="B149" s="1694"/>
      <c r="C149" s="305" t="s">
        <v>1307</v>
      </c>
      <c r="D149" s="2761"/>
      <c r="E149" s="2519"/>
      <c r="F149" s="2651"/>
      <c r="G149" s="2737"/>
      <c r="H149" s="1416"/>
      <c r="I149" s="587" t="s">
        <v>1306</v>
      </c>
      <c r="J149" s="507"/>
      <c r="K149" s="1416"/>
      <c r="L149" s="151"/>
      <c r="M149" s="2480"/>
      <c r="N149" s="271"/>
      <c r="O149" s="1540"/>
      <c r="P149" s="1540"/>
      <c r="AH149" s="1547">
        <v>0</v>
      </c>
    </row>
    <row r="150" spans="1:34" s="2360" customFormat="1" ht="0.75" hidden="1" customHeight="1">
      <c r="A150" s="1694"/>
      <c r="B150" s="1694"/>
      <c r="C150" s="305" t="s">
        <v>1314</v>
      </c>
      <c r="D150" s="2761"/>
      <c r="E150" s="2519"/>
      <c r="F150" s="2651"/>
      <c r="G150" s="336"/>
      <c r="H150" s="1416"/>
      <c r="I150" s="587"/>
      <c r="J150" s="507"/>
      <c r="K150" s="1416"/>
      <c r="L150" s="151"/>
      <c r="M150" s="2480"/>
      <c r="N150" s="271"/>
      <c r="O150" s="1540"/>
      <c r="P150" s="1540"/>
      <c r="AH150" s="1547">
        <v>0</v>
      </c>
    </row>
    <row r="151" spans="1:34" s="2360" customFormat="1" ht="45" hidden="1" customHeight="1">
      <c r="A151" s="1694" t="s">
        <v>161</v>
      </c>
      <c r="B151" s="1694" t="s">
        <v>162</v>
      </c>
      <c r="C151" s="305"/>
      <c r="D151" s="2761"/>
      <c r="E151" s="2519"/>
      <c r="F151" s="2651" t="str">
        <f>INDEX(PT_DIFFERENTIATION_VTAR,MATCH(A151,PT_DIFFERENTIATION_VTAR_ID,0))</f>
        <v/>
      </c>
      <c r="G151" s="2737" t="str">
        <f>INDEX(PT_DIFFERENTIATION_NTAR,MATCH(B151,PT_DIFFERENTIATION_NTAR_ID,0))</f>
        <v/>
      </c>
      <c r="H151" s="1774"/>
      <c r="I151" s="1654"/>
      <c r="J151" s="1688"/>
      <c r="K151" s="1692"/>
      <c r="L151" s="1774" t="s">
        <v>305</v>
      </c>
      <c r="M151" s="2481"/>
      <c r="N151" s="271"/>
      <c r="O151" s="1540"/>
      <c r="P151" s="1540"/>
      <c r="AH151" s="1547">
        <v>0</v>
      </c>
    </row>
    <row r="152" spans="1:34" s="2360" customFormat="1" ht="18.75" hidden="1" customHeight="1">
      <c r="A152" s="1694"/>
      <c r="B152" s="1694"/>
      <c r="C152" s="305" t="s">
        <v>1307</v>
      </c>
      <c r="D152" s="2761"/>
      <c r="E152" s="2519"/>
      <c r="F152" s="2651"/>
      <c r="G152" s="2737"/>
      <c r="H152" s="1416"/>
      <c r="I152" s="587" t="s">
        <v>1306</v>
      </c>
      <c r="J152" s="507"/>
      <c r="K152" s="1416"/>
      <c r="L152" s="151"/>
      <c r="M152" s="1773"/>
      <c r="N152" s="271"/>
      <c r="O152" s="1540"/>
      <c r="P152" s="1540"/>
      <c r="AH152" s="1547">
        <v>0</v>
      </c>
    </row>
    <row r="153" spans="1:34" s="2360" customFormat="1" ht="0.75" hidden="1" customHeight="1">
      <c r="A153" s="1694"/>
      <c r="B153" s="1694"/>
      <c r="C153" s="305" t="s">
        <v>1314</v>
      </c>
      <c r="D153" s="2761"/>
      <c r="E153" s="2519"/>
      <c r="F153" s="2651"/>
      <c r="G153" s="336"/>
      <c r="H153" s="1416"/>
      <c r="I153" s="587"/>
      <c r="J153" s="507"/>
      <c r="K153" s="1416"/>
      <c r="L153" s="151"/>
      <c r="M153" s="278"/>
      <c r="N153" s="271"/>
      <c r="O153" s="1540"/>
      <c r="P153" s="1540"/>
      <c r="AH153" s="1547">
        <v>0</v>
      </c>
    </row>
    <row r="154" spans="1:34" s="2360" customFormat="1" ht="45" hidden="1" customHeight="1">
      <c r="A154" s="1694" t="s">
        <v>168</v>
      </c>
      <c r="B154" s="1694" t="s">
        <v>169</v>
      </c>
      <c r="C154" s="305"/>
      <c r="D154" s="2761"/>
      <c r="E154" s="2519"/>
      <c r="F154" s="265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37" t="str">
        <f>INDEX(PT_DIFFERENTIATION_NTAR,MATCH(B154,PT_DIFFERENTIATION_NTAR_ID,0))</f>
        <v/>
      </c>
      <c r="H154" s="1774"/>
      <c r="I154" s="1654"/>
      <c r="J154" s="1688"/>
      <c r="K154" s="1692"/>
      <c r="L154" s="1774" t="s">
        <v>305</v>
      </c>
      <c r="M154" s="278"/>
      <c r="N154" s="271"/>
      <c r="O154" s="1540"/>
      <c r="P154" s="1540"/>
      <c r="AH154" s="1547">
        <v>0</v>
      </c>
    </row>
    <row r="155" spans="1:34" s="2360" customFormat="1" ht="18.75" hidden="1" customHeight="1">
      <c r="A155" s="1694"/>
      <c r="B155" s="1694"/>
      <c r="C155" s="305" t="s">
        <v>1307</v>
      </c>
      <c r="D155" s="2761"/>
      <c r="E155" s="2519"/>
      <c r="F155" s="2651"/>
      <c r="G155" s="2737"/>
      <c r="H155" s="1416"/>
      <c r="I155" s="587" t="s">
        <v>1306</v>
      </c>
      <c r="J155" s="507"/>
      <c r="K155" s="1416"/>
      <c r="L155" s="151"/>
      <c r="M155" s="278"/>
      <c r="N155" s="271"/>
      <c r="O155" s="1540"/>
      <c r="P155" s="1540"/>
      <c r="AH155" s="1547">
        <v>0</v>
      </c>
    </row>
    <row r="156" spans="1:34" s="2360" customFormat="1" ht="0.75" hidden="1" customHeight="1">
      <c r="A156" s="1694"/>
      <c r="B156" s="1694"/>
      <c r="C156" s="305" t="s">
        <v>1314</v>
      </c>
      <c r="D156" s="2761"/>
      <c r="E156" s="2519"/>
      <c r="F156" s="2651"/>
      <c r="G156" s="336"/>
      <c r="H156" s="1416"/>
      <c r="I156" s="587"/>
      <c r="J156" s="507"/>
      <c r="K156" s="1416"/>
      <c r="L156" s="151"/>
      <c r="M156" s="278"/>
      <c r="N156" s="271"/>
      <c r="O156" s="1540"/>
      <c r="P156" s="1540"/>
      <c r="AH156" s="1547">
        <v>0</v>
      </c>
    </row>
    <row r="157" spans="1:34" s="2360" customFormat="1" ht="45" hidden="1" customHeight="1">
      <c r="A157" s="1694" t="s">
        <v>174</v>
      </c>
      <c r="B157" s="1694" t="s">
        <v>175</v>
      </c>
      <c r="C157" s="305"/>
      <c r="D157" s="2761"/>
      <c r="E157" s="2519"/>
      <c r="F157" s="265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37" t="str">
        <f>INDEX(PT_DIFFERENTIATION_NTAR,MATCH(B157,PT_DIFFERENTIATION_NTAR_ID,0))</f>
        <v/>
      </c>
      <c r="H157" s="1774"/>
      <c r="I157" s="1654"/>
      <c r="J157" s="1688"/>
      <c r="K157" s="1692"/>
      <c r="L157" s="1774" t="s">
        <v>305</v>
      </c>
      <c r="M157" s="278"/>
      <c r="N157" s="271"/>
      <c r="O157" s="1540"/>
      <c r="P157" s="1540"/>
      <c r="AH157" s="1547">
        <v>0</v>
      </c>
    </row>
    <row r="158" spans="1:34" s="2360" customFormat="1" ht="18.75" hidden="1" customHeight="1">
      <c r="A158" s="1694"/>
      <c r="B158" s="1694"/>
      <c r="C158" s="305" t="s">
        <v>1307</v>
      </c>
      <c r="D158" s="2761"/>
      <c r="E158" s="2519"/>
      <c r="F158" s="2651"/>
      <c r="G158" s="2737"/>
      <c r="H158" s="1416"/>
      <c r="I158" s="587" t="s">
        <v>1306</v>
      </c>
      <c r="J158" s="507"/>
      <c r="K158" s="1416"/>
      <c r="L158" s="151"/>
      <c r="M158" s="278"/>
      <c r="N158" s="271"/>
      <c r="O158" s="1540"/>
      <c r="P158" s="1540"/>
      <c r="AH158" s="1547">
        <v>0</v>
      </c>
    </row>
    <row r="159" spans="1:34" s="2360" customFormat="1" ht="0.75" hidden="1" customHeight="1">
      <c r="A159" s="1694"/>
      <c r="B159" s="1694"/>
      <c r="C159" s="305" t="s">
        <v>1314</v>
      </c>
      <c r="D159" s="2761"/>
      <c r="E159" s="2519"/>
      <c r="F159" s="2651"/>
      <c r="G159" s="336"/>
      <c r="H159" s="1416"/>
      <c r="I159" s="587"/>
      <c r="J159" s="507"/>
      <c r="K159" s="1416"/>
      <c r="L159" s="151"/>
      <c r="M159" s="278"/>
      <c r="N159" s="271"/>
      <c r="O159" s="1540"/>
      <c r="P159" s="1540"/>
      <c r="AH159" s="1547">
        <v>0</v>
      </c>
    </row>
    <row r="160" spans="1:34" s="2360" customFormat="1" ht="18.75" hidden="1" customHeight="1">
      <c r="A160" s="1694" t="s">
        <v>180</v>
      </c>
      <c r="B160" s="1694" t="s">
        <v>181</v>
      </c>
      <c r="C160" s="305"/>
      <c r="D160" s="2761"/>
      <c r="E160" s="2519"/>
      <c r="F160" s="2651" t="str">
        <f>INDEX(PT_DIFFERENTIATION_VTAR,MATCH(A160,PT_DIFFERENTIATION_VTAR_ID,0))</f>
        <v>Тарифы на услуги по передаче тепловой энергии</v>
      </c>
      <c r="G160" s="2737" t="str">
        <f>INDEX(PT_DIFFERENTIATION_NTAR,MATCH(B160,PT_DIFFERENTIATION_NTAR_ID,0))</f>
        <v/>
      </c>
      <c r="H160" s="1774"/>
      <c r="I160" s="1654"/>
      <c r="J160" s="1688"/>
      <c r="K160" s="1692"/>
      <c r="L160" s="1774" t="s">
        <v>305</v>
      </c>
      <c r="M160" s="278"/>
      <c r="N160" s="271"/>
      <c r="O160" s="1540"/>
      <c r="P160" s="1540"/>
      <c r="AH160" s="1547">
        <v>0</v>
      </c>
    </row>
    <row r="161" spans="1:34" s="2360" customFormat="1" ht="18.75" hidden="1" customHeight="1">
      <c r="A161" s="1694"/>
      <c r="B161" s="1694"/>
      <c r="C161" s="305" t="s">
        <v>1307</v>
      </c>
      <c r="D161" s="2761"/>
      <c r="E161" s="2519"/>
      <c r="F161" s="2651"/>
      <c r="G161" s="2737"/>
      <c r="H161" s="1416"/>
      <c r="I161" s="587" t="s">
        <v>1306</v>
      </c>
      <c r="J161" s="507"/>
      <c r="K161" s="1416"/>
      <c r="L161" s="151"/>
      <c r="M161" s="278"/>
      <c r="N161" s="271"/>
      <c r="O161" s="1540"/>
      <c r="P161" s="1540"/>
      <c r="AH161" s="1547">
        <v>0</v>
      </c>
    </row>
    <row r="162" spans="1:34" s="2360" customFormat="1" ht="0.75" hidden="1" customHeight="1">
      <c r="A162" s="1694"/>
      <c r="B162" s="1694"/>
      <c r="C162" s="305" t="s">
        <v>1314</v>
      </c>
      <c r="D162" s="2761"/>
      <c r="E162" s="2519"/>
      <c r="F162" s="2651"/>
      <c r="G162" s="336"/>
      <c r="H162" s="1416"/>
      <c r="I162" s="587"/>
      <c r="J162" s="507"/>
      <c r="K162" s="1416"/>
      <c r="L162" s="151"/>
      <c r="M162" s="278"/>
      <c r="N162" s="271"/>
      <c r="O162" s="1540"/>
      <c r="P162" s="1540"/>
      <c r="AH162" s="1547">
        <v>0</v>
      </c>
    </row>
    <row r="163" spans="1:34" s="2360" customFormat="1" ht="18.75" hidden="1" customHeight="1">
      <c r="A163" s="1694" t="s">
        <v>186</v>
      </c>
      <c r="B163" s="1694" t="s">
        <v>187</v>
      </c>
      <c r="C163" s="305"/>
      <c r="D163" s="2761"/>
      <c r="E163" s="2519"/>
      <c r="F163" s="2651" t="str">
        <f>INDEX(PT_DIFFERENTIATION_VTAR,MATCH(A163,PT_DIFFERENTIATION_VTAR_ID,0))</f>
        <v>Тарифы на услуги по передаче теплоносителя</v>
      </c>
      <c r="G163" s="2737" t="str">
        <f>INDEX(PT_DIFFERENTIATION_NTAR,MATCH(B163,PT_DIFFERENTIATION_NTAR_ID,0))</f>
        <v/>
      </c>
      <c r="H163" s="1774"/>
      <c r="I163" s="1654"/>
      <c r="J163" s="1688"/>
      <c r="K163" s="1692"/>
      <c r="L163" s="1774" t="s">
        <v>305</v>
      </c>
      <c r="M163" s="278"/>
      <c r="N163" s="271"/>
      <c r="O163" s="1540"/>
      <c r="P163" s="1540"/>
      <c r="AH163" s="1547">
        <v>0</v>
      </c>
    </row>
    <row r="164" spans="1:34" s="2360" customFormat="1" ht="18.75" hidden="1" customHeight="1">
      <c r="A164" s="1694"/>
      <c r="B164" s="1694"/>
      <c r="C164" s="305" t="s">
        <v>1307</v>
      </c>
      <c r="D164" s="2761"/>
      <c r="E164" s="2519"/>
      <c r="F164" s="2651"/>
      <c r="G164" s="2737"/>
      <c r="H164" s="1416"/>
      <c r="I164" s="587" t="s">
        <v>1306</v>
      </c>
      <c r="J164" s="507"/>
      <c r="K164" s="1416"/>
      <c r="L164" s="151"/>
      <c r="M164" s="278"/>
      <c r="N164" s="271"/>
      <c r="O164" s="1540"/>
      <c r="P164" s="1540"/>
      <c r="AH164" s="1547">
        <v>0</v>
      </c>
    </row>
    <row r="165" spans="1:34" s="2360" customFormat="1" ht="0.75" hidden="1" customHeight="1">
      <c r="A165" s="1694"/>
      <c r="B165" s="1694"/>
      <c r="C165" s="305" t="s">
        <v>1314</v>
      </c>
      <c r="D165" s="2761"/>
      <c r="E165" s="2519"/>
      <c r="F165" s="2651"/>
      <c r="G165" s="336"/>
      <c r="H165" s="1416"/>
      <c r="I165" s="587"/>
      <c r="J165" s="507"/>
      <c r="K165" s="1416"/>
      <c r="L165" s="151"/>
      <c r="M165" s="278"/>
      <c r="N165" s="271"/>
      <c r="O165" s="1540"/>
      <c r="P165" s="1540"/>
      <c r="AH165" s="1547">
        <v>0</v>
      </c>
    </row>
    <row r="166" spans="1:34" s="2360" customFormat="1" ht="18.75" hidden="1" customHeight="1">
      <c r="A166" s="1694" t="s">
        <v>192</v>
      </c>
      <c r="B166" s="1694" t="s">
        <v>193</v>
      </c>
      <c r="C166" s="305"/>
      <c r="D166" s="2761"/>
      <c r="E166" s="2519"/>
      <c r="F166" s="265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37" t="str">
        <f>INDEX(PT_DIFFERENTIATION_NTAR,MATCH(B166,PT_DIFFERENTIATION_NTAR_ID,0))</f>
        <v/>
      </c>
      <c r="H166" s="1774"/>
      <c r="I166" s="1654"/>
      <c r="J166" s="1688"/>
      <c r="K166" s="1692"/>
      <c r="L166" s="1774" t="s">
        <v>305</v>
      </c>
      <c r="M166" s="278"/>
      <c r="N166" s="271"/>
      <c r="O166" s="1540"/>
      <c r="P166" s="1540"/>
      <c r="AH166" s="1547">
        <v>0</v>
      </c>
    </row>
    <row r="167" spans="1:34" s="2360" customFormat="1" ht="18.75" hidden="1" customHeight="1">
      <c r="A167" s="1694"/>
      <c r="B167" s="1694"/>
      <c r="C167" s="305" t="s">
        <v>1307</v>
      </c>
      <c r="D167" s="2761"/>
      <c r="E167" s="2519"/>
      <c r="F167" s="2651"/>
      <c r="G167" s="2737"/>
      <c r="H167" s="1416"/>
      <c r="I167" s="587" t="s">
        <v>1306</v>
      </c>
      <c r="J167" s="507"/>
      <c r="K167" s="1416"/>
      <c r="L167" s="151"/>
      <c r="M167" s="278"/>
      <c r="N167" s="271"/>
      <c r="O167" s="1540"/>
      <c r="P167" s="1540"/>
      <c r="AH167" s="1547">
        <v>0</v>
      </c>
    </row>
    <row r="168" spans="1:34" s="2360" customFormat="1" ht="0.75" hidden="1" customHeight="1">
      <c r="A168" s="1694"/>
      <c r="B168" s="1694"/>
      <c r="C168" s="305" t="s">
        <v>1314</v>
      </c>
      <c r="D168" s="2761"/>
      <c r="E168" s="2519"/>
      <c r="F168" s="2651"/>
      <c r="G168" s="336"/>
      <c r="H168" s="1416"/>
      <c r="I168" s="587"/>
      <c r="J168" s="507"/>
      <c r="K168" s="1416"/>
      <c r="L168" s="151"/>
      <c r="M168" s="278"/>
      <c r="N168" s="271"/>
      <c r="O168" s="1540"/>
      <c r="P168" s="1540"/>
      <c r="AH168" s="1547">
        <v>0</v>
      </c>
    </row>
    <row r="169" spans="1:34" s="2360" customFormat="1" ht="18.75" hidden="1" customHeight="1">
      <c r="A169" s="1694" t="s">
        <v>198</v>
      </c>
      <c r="B169" s="1694" t="s">
        <v>199</v>
      </c>
      <c r="C169" s="305"/>
      <c r="D169" s="2761"/>
      <c r="E169" s="2519"/>
      <c r="F169" s="2651" t="str">
        <f>INDEX(PT_DIFFERENTIATION_VTAR,MATCH(A169,PT_DIFFERENTIATION_VTAR_ID,0))</f>
        <v>Плата за подключение (технологическое присоединение) к системе теплоснабжения</v>
      </c>
      <c r="G169" s="2737" t="str">
        <f>INDEX(PT_DIFFERENTIATION_NTAR,MATCH(B169,PT_DIFFERENTIATION_NTAR_ID,0))</f>
        <v/>
      </c>
      <c r="H169" s="1774"/>
      <c r="I169" s="1654"/>
      <c r="J169" s="1688"/>
      <c r="K169" s="1692"/>
      <c r="L169" s="1774" t="s">
        <v>305</v>
      </c>
      <c r="M169" s="278"/>
      <c r="N169" s="271"/>
      <c r="O169" s="1540"/>
      <c r="P169" s="1540"/>
      <c r="AH169" s="1547">
        <v>0</v>
      </c>
    </row>
    <row r="170" spans="1:34" s="2360" customFormat="1" ht="18.75" hidden="1" customHeight="1">
      <c r="A170" s="1694"/>
      <c r="B170" s="1694"/>
      <c r="C170" s="305" t="s">
        <v>1307</v>
      </c>
      <c r="D170" s="2761"/>
      <c r="E170" s="2519"/>
      <c r="F170" s="2651"/>
      <c r="G170" s="2737"/>
      <c r="H170" s="1416"/>
      <c r="I170" s="587" t="s">
        <v>1306</v>
      </c>
      <c r="J170" s="507"/>
      <c r="K170" s="1416"/>
      <c r="L170" s="151"/>
      <c r="M170" s="278"/>
      <c r="N170" s="271"/>
      <c r="O170" s="1540"/>
      <c r="P170" s="1540"/>
      <c r="AH170" s="1547">
        <v>0</v>
      </c>
    </row>
    <row r="171" spans="1:34" s="2360" customFormat="1" ht="0.75" hidden="1" customHeight="1">
      <c r="A171" s="1694"/>
      <c r="B171" s="1694"/>
      <c r="C171" s="305" t="s">
        <v>1314</v>
      </c>
      <c r="D171" s="2761"/>
      <c r="E171" s="2519"/>
      <c r="F171" s="2651"/>
      <c r="G171" s="336"/>
      <c r="H171" s="1416"/>
      <c r="I171" s="587"/>
      <c r="J171" s="507"/>
      <c r="K171" s="1416"/>
      <c r="L171" s="151"/>
      <c r="M171" s="278"/>
      <c r="N171" s="271"/>
      <c r="O171" s="1540"/>
      <c r="P171" s="1540"/>
      <c r="AH171" s="1547">
        <v>0</v>
      </c>
    </row>
    <row r="172" spans="1:34" s="2360" customFormat="1" ht="18.75" hidden="1" customHeight="1">
      <c r="A172" s="1694" t="s">
        <v>204</v>
      </c>
      <c r="B172" s="1694" t="s">
        <v>205</v>
      </c>
      <c r="C172" s="305"/>
      <c r="D172" s="2761"/>
      <c r="E172" s="2519"/>
      <c r="F172" s="2651" t="str">
        <f>INDEX(PT_DIFFERENTIATION_VTAR,MATCH(A172,PT_DIFFERENTIATION_VTAR_ID,0))</f>
        <v>Плата за подключение (технологическое присоединение) к системе теплоснабжения (индивидуальная)</v>
      </c>
      <c r="G172" s="2737" t="str">
        <f>INDEX(PT_DIFFERENTIATION_NTAR,MATCH(B172,PT_DIFFERENTIATION_NTAR_ID,0))</f>
        <v/>
      </c>
      <c r="H172" s="1898"/>
      <c r="I172" s="1654"/>
      <c r="J172" s="1688"/>
      <c r="K172" s="1692"/>
      <c r="L172" s="1898" t="s">
        <v>305</v>
      </c>
      <c r="M172" s="278"/>
      <c r="N172" s="271"/>
      <c r="O172" s="1540"/>
      <c r="P172" s="1540"/>
      <c r="AH172" s="1547">
        <v>0</v>
      </c>
    </row>
    <row r="173" spans="1:34" s="2360" customFormat="1" ht="18.75" hidden="1" customHeight="1">
      <c r="A173" s="1694"/>
      <c r="B173" s="1694"/>
      <c r="C173" s="305" t="s">
        <v>1307</v>
      </c>
      <c r="D173" s="2761"/>
      <c r="E173" s="2519"/>
      <c r="F173" s="2651"/>
      <c r="G173" s="2737"/>
      <c r="H173" s="1416"/>
      <c r="I173" s="587" t="s">
        <v>1306</v>
      </c>
      <c r="J173" s="507"/>
      <c r="K173" s="1416"/>
      <c r="L173" s="151"/>
      <c r="M173" s="278"/>
      <c r="N173" s="271"/>
      <c r="O173" s="1540"/>
      <c r="P173" s="1540"/>
      <c r="AH173" s="1547">
        <v>0</v>
      </c>
    </row>
    <row r="174" spans="1:34" s="2360" customFormat="1" ht="0.75" hidden="1" customHeight="1">
      <c r="A174" s="1694"/>
      <c r="B174" s="1694"/>
      <c r="C174" s="305" t="s">
        <v>1314</v>
      </c>
      <c r="D174" s="2761"/>
      <c r="E174" s="2519"/>
      <c r="F174" s="2651"/>
      <c r="G174" s="336"/>
      <c r="H174" s="1416"/>
      <c r="I174" s="587"/>
      <c r="J174" s="507"/>
      <c r="K174" s="1416"/>
      <c r="L174" s="151"/>
      <c r="M174" s="278"/>
      <c r="N174" s="271"/>
      <c r="O174" s="1540"/>
      <c r="P174" s="1540"/>
      <c r="AH174" s="1547">
        <v>0</v>
      </c>
    </row>
    <row r="175" spans="1:34" s="2360" customFormat="1" ht="18.75" hidden="1" customHeight="1">
      <c r="A175" s="1694" t="s">
        <v>224</v>
      </c>
      <c r="B175" s="1694" t="s">
        <v>225</v>
      </c>
      <c r="C175" s="305"/>
      <c r="D175" s="2761"/>
      <c r="E175" s="2519"/>
      <c r="F175" s="2651" t="str">
        <f>INDEX(PT_DIFFERENTIATION_VTAR,MATCH(A175,PT_DIFFERENTIATION_VTAR_ID,0))</f>
        <v>Тариф на питьевую воду (питьевое водоснабжение)</v>
      </c>
      <c r="G175" s="2737" t="str">
        <f>INDEX(PT_DIFFERENTIATION_NTAR,MATCH(B175,PT_DIFFERENTIATION_NTAR_ID,0))</f>
        <v/>
      </c>
      <c r="H175" s="1774"/>
      <c r="I175" s="1654"/>
      <c r="J175" s="1688"/>
      <c r="K175" s="1692"/>
      <c r="L175" s="1774" t="s">
        <v>305</v>
      </c>
      <c r="M175" s="278"/>
      <c r="N175" s="271"/>
      <c r="O175" s="1540"/>
      <c r="P175" s="1540"/>
      <c r="AH175" s="1547">
        <v>0</v>
      </c>
    </row>
    <row r="176" spans="1:34" s="2360" customFormat="1" ht="18.75" hidden="1" customHeight="1">
      <c r="A176" s="1694"/>
      <c r="B176" s="1694"/>
      <c r="C176" s="305" t="s">
        <v>1307</v>
      </c>
      <c r="D176" s="2761"/>
      <c r="E176" s="2519"/>
      <c r="F176" s="2651"/>
      <c r="G176" s="2737"/>
      <c r="H176" s="1416"/>
      <c r="I176" s="587" t="s">
        <v>1306</v>
      </c>
      <c r="J176" s="507"/>
      <c r="K176" s="1416"/>
      <c r="L176" s="151"/>
      <c r="M176" s="278"/>
      <c r="N176" s="271"/>
      <c r="O176" s="1540"/>
      <c r="P176" s="1540"/>
      <c r="AH176" s="1547">
        <v>0</v>
      </c>
    </row>
    <row r="177" spans="1:34" s="2360" customFormat="1" ht="0.75" hidden="1" customHeight="1">
      <c r="A177" s="1694"/>
      <c r="B177" s="1694"/>
      <c r="C177" s="305" t="s">
        <v>1314</v>
      </c>
      <c r="D177" s="2761"/>
      <c r="E177" s="2519"/>
      <c r="F177" s="2651"/>
      <c r="G177" s="336"/>
      <c r="H177" s="1416"/>
      <c r="I177" s="587"/>
      <c r="J177" s="507"/>
      <c r="K177" s="1416"/>
      <c r="L177" s="151"/>
      <c r="M177" s="278"/>
      <c r="N177" s="271"/>
      <c r="O177" s="1540"/>
      <c r="P177" s="1540"/>
      <c r="AH177" s="1547">
        <v>0</v>
      </c>
    </row>
    <row r="178" spans="1:34" s="2360" customFormat="1" ht="18.75" hidden="1" customHeight="1">
      <c r="A178" s="1694" t="s">
        <v>229</v>
      </c>
      <c r="B178" s="1694" t="s">
        <v>230</v>
      </c>
      <c r="C178" s="305"/>
      <c r="D178" s="2761"/>
      <c r="E178" s="2519"/>
      <c r="F178" s="2651" t="str">
        <f>INDEX(PT_DIFFERENTIATION_VTAR,MATCH(A178,PT_DIFFERENTIATION_VTAR_ID,0))</f>
        <v>Тариф на техническую воду</v>
      </c>
      <c r="G178" s="2737" t="str">
        <f>INDEX(PT_DIFFERENTIATION_NTAR,MATCH(B178,PT_DIFFERENTIATION_NTAR_ID,0))</f>
        <v/>
      </c>
      <c r="H178" s="1774"/>
      <c r="I178" s="1654"/>
      <c r="J178" s="1688"/>
      <c r="K178" s="1692"/>
      <c r="L178" s="1774" t="s">
        <v>305</v>
      </c>
      <c r="M178" s="278"/>
      <c r="N178" s="271"/>
      <c r="O178" s="1540"/>
      <c r="P178" s="1540"/>
      <c r="AH178" s="1547">
        <v>0</v>
      </c>
    </row>
    <row r="179" spans="1:34" s="2360" customFormat="1" ht="18.75" hidden="1" customHeight="1">
      <c r="A179" s="1694"/>
      <c r="B179" s="1694"/>
      <c r="C179" s="305" t="s">
        <v>1307</v>
      </c>
      <c r="D179" s="2761"/>
      <c r="E179" s="2519"/>
      <c r="F179" s="2651"/>
      <c r="G179" s="2737"/>
      <c r="H179" s="1416"/>
      <c r="I179" s="587" t="s">
        <v>1306</v>
      </c>
      <c r="J179" s="507"/>
      <c r="K179" s="1416"/>
      <c r="L179" s="151"/>
      <c r="M179" s="278"/>
      <c r="N179" s="271"/>
      <c r="O179" s="1540"/>
      <c r="P179" s="1540"/>
      <c r="AH179" s="1547">
        <v>0</v>
      </c>
    </row>
    <row r="180" spans="1:34" s="2360" customFormat="1" ht="0.75" hidden="1" customHeight="1">
      <c r="A180" s="1694"/>
      <c r="B180" s="1694"/>
      <c r="C180" s="305" t="s">
        <v>1314</v>
      </c>
      <c r="D180" s="2761"/>
      <c r="E180" s="2519"/>
      <c r="F180" s="2651"/>
      <c r="G180" s="336"/>
      <c r="H180" s="1416"/>
      <c r="I180" s="587"/>
      <c r="J180" s="507"/>
      <c r="K180" s="1416"/>
      <c r="L180" s="151"/>
      <c r="M180" s="278"/>
      <c r="N180" s="271"/>
      <c r="O180" s="1540"/>
      <c r="P180" s="1540"/>
      <c r="AH180" s="1547">
        <v>0</v>
      </c>
    </row>
    <row r="181" spans="1:34" s="2360" customFormat="1" ht="18.75" hidden="1" customHeight="1">
      <c r="A181" s="1694" t="s">
        <v>234</v>
      </c>
      <c r="B181" s="1694" t="s">
        <v>235</v>
      </c>
      <c r="C181" s="305"/>
      <c r="D181" s="2761"/>
      <c r="E181" s="2519"/>
      <c r="F181" s="2651" t="str">
        <f>INDEX(PT_DIFFERENTIATION_VTAR,MATCH(A181,PT_DIFFERENTIATION_VTAR_ID,0))</f>
        <v>Тариф на транспортировку воды</v>
      </c>
      <c r="G181" s="2737" t="str">
        <f>INDEX(PT_DIFFERENTIATION_NTAR,MATCH(B181,PT_DIFFERENTIATION_NTAR_ID,0))</f>
        <v/>
      </c>
      <c r="H181" s="1774"/>
      <c r="I181" s="1654"/>
      <c r="J181" s="1688"/>
      <c r="K181" s="1692"/>
      <c r="L181" s="1774" t="s">
        <v>305</v>
      </c>
      <c r="M181" s="278"/>
      <c r="N181" s="271"/>
      <c r="O181" s="1540"/>
      <c r="P181" s="1540"/>
      <c r="AH181" s="1547">
        <v>0</v>
      </c>
    </row>
    <row r="182" spans="1:34" s="2360" customFormat="1" ht="18.75" hidden="1" customHeight="1">
      <c r="A182" s="1694"/>
      <c r="B182" s="1694"/>
      <c r="C182" s="305" t="s">
        <v>1307</v>
      </c>
      <c r="D182" s="2761"/>
      <c r="E182" s="2519"/>
      <c r="F182" s="2651"/>
      <c r="G182" s="2737"/>
      <c r="H182" s="1416"/>
      <c r="I182" s="587" t="s">
        <v>1306</v>
      </c>
      <c r="J182" s="507"/>
      <c r="K182" s="1416"/>
      <c r="L182" s="151"/>
      <c r="M182" s="278"/>
      <c r="N182" s="271"/>
      <c r="O182" s="1540"/>
      <c r="P182" s="1540"/>
      <c r="AH182" s="1547">
        <v>0</v>
      </c>
    </row>
    <row r="183" spans="1:34" s="2360" customFormat="1" ht="0.75" hidden="1" customHeight="1">
      <c r="A183" s="1694"/>
      <c r="B183" s="1694"/>
      <c r="C183" s="305" t="s">
        <v>1314</v>
      </c>
      <c r="D183" s="2761"/>
      <c r="E183" s="2519"/>
      <c r="F183" s="2651"/>
      <c r="G183" s="336"/>
      <c r="H183" s="1416"/>
      <c r="I183" s="587"/>
      <c r="J183" s="507"/>
      <c r="K183" s="1416"/>
      <c r="L183" s="151"/>
      <c r="M183" s="278"/>
      <c r="N183" s="271"/>
      <c r="O183" s="1540"/>
      <c r="P183" s="1540"/>
      <c r="AH183" s="1547">
        <v>0</v>
      </c>
    </row>
    <row r="184" spans="1:34" s="2360" customFormat="1" ht="18.75" hidden="1" customHeight="1">
      <c r="A184" s="1694" t="s">
        <v>239</v>
      </c>
      <c r="B184" s="1694" t="s">
        <v>240</v>
      </c>
      <c r="C184" s="305"/>
      <c r="D184" s="2761"/>
      <c r="E184" s="2519"/>
      <c r="F184" s="2651" t="str">
        <f>INDEX(PT_DIFFERENTIATION_VTAR,MATCH(A184,PT_DIFFERENTIATION_VTAR_ID,0))</f>
        <v>Тариф на подвоз воды</v>
      </c>
      <c r="G184" s="2737" t="str">
        <f>INDEX(PT_DIFFERENTIATION_NTAR,MATCH(B184,PT_DIFFERENTIATION_NTAR_ID,0))</f>
        <v/>
      </c>
      <c r="H184" s="1774"/>
      <c r="I184" s="1654"/>
      <c r="J184" s="1688"/>
      <c r="K184" s="1692"/>
      <c r="L184" s="1774" t="s">
        <v>305</v>
      </c>
      <c r="M184" s="278"/>
      <c r="N184" s="271"/>
      <c r="O184" s="1540"/>
      <c r="P184" s="1540"/>
      <c r="AH184" s="1547">
        <v>0</v>
      </c>
    </row>
    <row r="185" spans="1:34" s="2360" customFormat="1" ht="18.75" hidden="1" customHeight="1">
      <c r="A185" s="1694"/>
      <c r="B185" s="1694"/>
      <c r="C185" s="305" t="s">
        <v>1307</v>
      </c>
      <c r="D185" s="2761"/>
      <c r="E185" s="2519"/>
      <c r="F185" s="2651"/>
      <c r="G185" s="2737"/>
      <c r="H185" s="1416"/>
      <c r="I185" s="587" t="s">
        <v>1306</v>
      </c>
      <c r="J185" s="507"/>
      <c r="K185" s="1416"/>
      <c r="L185" s="151"/>
      <c r="M185" s="278"/>
      <c r="N185" s="271"/>
      <c r="O185" s="1540"/>
      <c r="P185" s="1540"/>
      <c r="AH185" s="1547">
        <v>0</v>
      </c>
    </row>
    <row r="186" spans="1:34" s="2360" customFormat="1" ht="0.75" hidden="1" customHeight="1">
      <c r="A186" s="1694"/>
      <c r="B186" s="1694"/>
      <c r="C186" s="305" t="s">
        <v>1314</v>
      </c>
      <c r="D186" s="2761"/>
      <c r="E186" s="2519"/>
      <c r="F186" s="2651"/>
      <c r="G186" s="336"/>
      <c r="H186" s="1416"/>
      <c r="I186" s="587"/>
      <c r="J186" s="507"/>
      <c r="K186" s="1416"/>
      <c r="L186" s="151"/>
      <c r="M186" s="278"/>
      <c r="N186" s="271"/>
      <c r="O186" s="1540"/>
      <c r="P186" s="1540"/>
      <c r="AH186" s="1547">
        <v>0</v>
      </c>
    </row>
    <row r="187" spans="1:34" s="2360" customFormat="1" ht="18.75" hidden="1" customHeight="1">
      <c r="A187" s="1694" t="s">
        <v>244</v>
      </c>
      <c r="B187" s="1694" t="s">
        <v>245</v>
      </c>
      <c r="C187" s="305"/>
      <c r="D187" s="2761"/>
      <c r="E187" s="2519"/>
      <c r="F187" s="265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37" t="str">
        <f>INDEX(PT_DIFFERENTIATION_NTAR,MATCH(B187,PT_DIFFERENTIATION_NTAR_ID,0))</f>
        <v/>
      </c>
      <c r="H187" s="1774"/>
      <c r="I187" s="1654"/>
      <c r="J187" s="1688"/>
      <c r="K187" s="1692"/>
      <c r="L187" s="1774" t="s">
        <v>305</v>
      </c>
      <c r="M187" s="278"/>
      <c r="N187" s="271"/>
      <c r="O187" s="1540"/>
      <c r="P187" s="1540"/>
      <c r="AH187" s="1547">
        <v>0</v>
      </c>
    </row>
    <row r="188" spans="1:34" s="2360" customFormat="1" ht="18.75" hidden="1" customHeight="1">
      <c r="A188" s="1694"/>
      <c r="B188" s="1694"/>
      <c r="C188" s="305" t="s">
        <v>1307</v>
      </c>
      <c r="D188" s="2761"/>
      <c r="E188" s="2519"/>
      <c r="F188" s="2651"/>
      <c r="G188" s="2737"/>
      <c r="H188" s="1416"/>
      <c r="I188" s="587" t="s">
        <v>1306</v>
      </c>
      <c r="J188" s="507"/>
      <c r="K188" s="1416"/>
      <c r="L188" s="151"/>
      <c r="M188" s="278"/>
      <c r="N188" s="271"/>
      <c r="O188" s="1540"/>
      <c r="P188" s="1540"/>
      <c r="AH188" s="1547">
        <v>0</v>
      </c>
    </row>
    <row r="189" spans="1:34" s="2360" customFormat="1" ht="0.75" hidden="1" customHeight="1">
      <c r="A189" s="1694"/>
      <c r="B189" s="1694"/>
      <c r="C189" s="305" t="s">
        <v>1314</v>
      </c>
      <c r="D189" s="2761"/>
      <c r="E189" s="2519"/>
      <c r="F189" s="2651"/>
      <c r="G189" s="336"/>
      <c r="H189" s="1416"/>
      <c r="I189" s="587"/>
      <c r="J189" s="507"/>
      <c r="K189" s="1416"/>
      <c r="L189" s="151"/>
      <c r="M189" s="278"/>
      <c r="N189" s="271"/>
      <c r="O189" s="1540"/>
      <c r="P189" s="1540"/>
      <c r="AH189" s="1547">
        <v>0</v>
      </c>
    </row>
    <row r="190" spans="1:34" s="2360" customFormat="1" ht="18.75" hidden="1" customHeight="1">
      <c r="A190" s="1694" t="s">
        <v>249</v>
      </c>
      <c r="B190" s="1694" t="s">
        <v>250</v>
      </c>
      <c r="C190" s="305"/>
      <c r="D190" s="2761"/>
      <c r="E190" s="2519"/>
      <c r="F190" s="2651" t="str">
        <f>INDEX(PT_DIFFERENTIATION_VTAR,MATCH(A190,PT_DIFFERENTIATION_VTAR_ID,0))</f>
        <v>Тариф на горячую воду (горячее водоснабжение)</v>
      </c>
      <c r="G190" s="2737" t="str">
        <f>INDEX(PT_DIFFERENTIATION_NTAR,MATCH(B190,PT_DIFFERENTIATION_NTAR_ID,0))</f>
        <v/>
      </c>
      <c r="H190" s="1774"/>
      <c r="I190" s="1654"/>
      <c r="J190" s="1688"/>
      <c r="K190" s="1692"/>
      <c r="L190" s="1774" t="s">
        <v>305</v>
      </c>
      <c r="M190" s="278"/>
      <c r="N190" s="271"/>
      <c r="O190" s="1540"/>
      <c r="P190" s="1540"/>
      <c r="AH190" s="1547">
        <v>0</v>
      </c>
    </row>
    <row r="191" spans="1:34" s="2360" customFormat="1" ht="18.75" hidden="1" customHeight="1">
      <c r="A191" s="1694"/>
      <c r="B191" s="1694"/>
      <c r="C191" s="305" t="s">
        <v>1307</v>
      </c>
      <c r="D191" s="2761"/>
      <c r="E191" s="2519"/>
      <c r="F191" s="2651"/>
      <c r="G191" s="2737"/>
      <c r="H191" s="1416"/>
      <c r="I191" s="587" t="s">
        <v>1306</v>
      </c>
      <c r="J191" s="507"/>
      <c r="K191" s="1416"/>
      <c r="L191" s="151"/>
      <c r="M191" s="278"/>
      <c r="N191" s="271"/>
      <c r="O191" s="1540"/>
      <c r="P191" s="1540"/>
      <c r="AH191" s="1547">
        <v>0</v>
      </c>
    </row>
    <row r="192" spans="1:34" s="2360" customFormat="1" ht="0.75" hidden="1" customHeight="1">
      <c r="A192" s="1694"/>
      <c r="B192" s="1694"/>
      <c r="C192" s="305" t="s">
        <v>1314</v>
      </c>
      <c r="D192" s="2761"/>
      <c r="E192" s="2519"/>
      <c r="F192" s="2651"/>
      <c r="G192" s="336"/>
      <c r="H192" s="1416"/>
      <c r="I192" s="587"/>
      <c r="J192" s="507"/>
      <c r="K192" s="1416"/>
      <c r="L192" s="151"/>
      <c r="M192" s="278"/>
      <c r="N192" s="271"/>
      <c r="O192" s="1540"/>
      <c r="P192" s="1540"/>
      <c r="AH192" s="1547">
        <v>0</v>
      </c>
    </row>
    <row r="193" spans="1:34" s="2360" customFormat="1" ht="18.75" hidden="1" customHeight="1">
      <c r="A193" s="1694" t="s">
        <v>254</v>
      </c>
      <c r="B193" s="1694" t="s">
        <v>255</v>
      </c>
      <c r="C193" s="305"/>
      <c r="D193" s="2761"/>
      <c r="E193" s="2519"/>
      <c r="F193" s="2651" t="str">
        <f>INDEX(PT_DIFFERENTIATION_VTAR,MATCH(A193,PT_DIFFERENTIATION_VTAR_ID,0))</f>
        <v>Тариф на транспортировку горячей воды</v>
      </c>
      <c r="G193" s="2737" t="str">
        <f>INDEX(PT_DIFFERENTIATION_NTAR,MATCH(B193,PT_DIFFERENTIATION_NTAR_ID,0))</f>
        <v/>
      </c>
      <c r="H193" s="1774"/>
      <c r="I193" s="1654"/>
      <c r="J193" s="1688"/>
      <c r="K193" s="1692"/>
      <c r="L193" s="1774" t="s">
        <v>305</v>
      </c>
      <c r="M193" s="278"/>
      <c r="N193" s="271"/>
      <c r="O193" s="1540"/>
      <c r="P193" s="1540"/>
      <c r="AH193" s="1547">
        <v>0</v>
      </c>
    </row>
    <row r="194" spans="1:34" s="2360" customFormat="1" ht="18.75" hidden="1" customHeight="1">
      <c r="A194" s="1694"/>
      <c r="B194" s="1694"/>
      <c r="C194" s="305" t="s">
        <v>1307</v>
      </c>
      <c r="D194" s="2761"/>
      <c r="E194" s="2519"/>
      <c r="F194" s="2651"/>
      <c r="G194" s="2737"/>
      <c r="H194" s="1416"/>
      <c r="I194" s="587" t="s">
        <v>1306</v>
      </c>
      <c r="J194" s="507"/>
      <c r="K194" s="1416"/>
      <c r="L194" s="151"/>
      <c r="M194" s="278"/>
      <c r="N194" s="271"/>
      <c r="O194" s="1540"/>
      <c r="P194" s="1540"/>
      <c r="AH194" s="1547">
        <v>0</v>
      </c>
    </row>
    <row r="195" spans="1:34" s="2360" customFormat="1" ht="0.75" hidden="1" customHeight="1">
      <c r="A195" s="1694"/>
      <c r="B195" s="1694"/>
      <c r="C195" s="305" t="s">
        <v>1314</v>
      </c>
      <c r="D195" s="2761"/>
      <c r="E195" s="2519"/>
      <c r="F195" s="2651"/>
      <c r="G195" s="336"/>
      <c r="H195" s="1416"/>
      <c r="I195" s="587"/>
      <c r="J195" s="507"/>
      <c r="K195" s="1416"/>
      <c r="L195" s="151"/>
      <c r="M195" s="278"/>
      <c r="N195" s="271"/>
      <c r="O195" s="1540"/>
      <c r="P195" s="1540"/>
      <c r="AH195" s="1547">
        <v>0</v>
      </c>
    </row>
    <row r="196" spans="1:34" s="2360" customFormat="1" ht="18.75" hidden="1" customHeight="1">
      <c r="A196" s="1694" t="s">
        <v>259</v>
      </c>
      <c r="B196" s="1694" t="s">
        <v>260</v>
      </c>
      <c r="C196" s="305"/>
      <c r="D196" s="2761"/>
      <c r="E196" s="2519"/>
      <c r="F196" s="265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37" t="str">
        <f>INDEX(PT_DIFFERENTIATION_NTAR,MATCH(B196,PT_DIFFERENTIATION_NTAR_ID,0))</f>
        <v/>
      </c>
      <c r="H196" s="1774"/>
      <c r="I196" s="1654"/>
      <c r="J196" s="1688"/>
      <c r="K196" s="1692"/>
      <c r="L196" s="1774" t="s">
        <v>305</v>
      </c>
      <c r="M196" s="278"/>
      <c r="N196" s="271"/>
      <c r="O196" s="1540"/>
      <c r="P196" s="1540"/>
      <c r="AH196" s="1547">
        <v>0</v>
      </c>
    </row>
    <row r="197" spans="1:34" s="2360" customFormat="1" ht="18.75" hidden="1" customHeight="1">
      <c r="A197" s="1694"/>
      <c r="B197" s="1694"/>
      <c r="C197" s="305" t="s">
        <v>1307</v>
      </c>
      <c r="D197" s="2761"/>
      <c r="E197" s="2519"/>
      <c r="F197" s="2651"/>
      <c r="G197" s="2737"/>
      <c r="H197" s="1416"/>
      <c r="I197" s="587" t="s">
        <v>1306</v>
      </c>
      <c r="J197" s="507"/>
      <c r="K197" s="1416"/>
      <c r="L197" s="151"/>
      <c r="M197" s="278"/>
      <c r="N197" s="271"/>
      <c r="O197" s="1540"/>
      <c r="P197" s="1540"/>
      <c r="AH197" s="1547">
        <v>0</v>
      </c>
    </row>
    <row r="198" spans="1:34" s="2360" customFormat="1" ht="0.75" hidden="1" customHeight="1">
      <c r="A198" s="1694"/>
      <c r="B198" s="1694"/>
      <c r="C198" s="305" t="s">
        <v>1314</v>
      </c>
      <c r="D198" s="2761"/>
      <c r="E198" s="2519"/>
      <c r="F198" s="2651"/>
      <c r="G198" s="336"/>
      <c r="H198" s="1416"/>
      <c r="I198" s="587"/>
      <c r="J198" s="507"/>
      <c r="K198" s="1416"/>
      <c r="L198" s="151"/>
      <c r="M198" s="278"/>
      <c r="N198" s="271"/>
      <c r="O198" s="1540"/>
      <c r="P198" s="1540"/>
      <c r="AH198" s="1547">
        <v>0</v>
      </c>
    </row>
    <row r="199" spans="1:34" s="2360" customFormat="1" ht="18.75" hidden="1" customHeight="1">
      <c r="A199" s="1694" t="s">
        <v>264</v>
      </c>
      <c r="B199" s="1694" t="s">
        <v>265</v>
      </c>
      <c r="C199" s="305"/>
      <c r="D199" s="2761"/>
      <c r="E199" s="2519"/>
      <c r="F199" s="2651" t="str">
        <f>INDEX(PT_DIFFERENTIATION_VTAR,MATCH(A199,PT_DIFFERENTIATION_VTAR_ID,0))</f>
        <v>Тариф на водоотведение</v>
      </c>
      <c r="G199" s="2737" t="str">
        <f>INDEX(PT_DIFFERENTIATION_NTAR,MATCH(B199,PT_DIFFERENTIATION_NTAR_ID,0))</f>
        <v/>
      </c>
      <c r="H199" s="1774"/>
      <c r="I199" s="1654"/>
      <c r="J199" s="1688"/>
      <c r="K199" s="1692"/>
      <c r="L199" s="1774" t="s">
        <v>305</v>
      </c>
      <c r="M199" s="278"/>
      <c r="N199" s="271"/>
      <c r="O199" s="1540"/>
      <c r="P199" s="1540"/>
      <c r="AH199" s="1547">
        <v>0</v>
      </c>
    </row>
    <row r="200" spans="1:34" s="2360" customFormat="1" ht="18.75" hidden="1" customHeight="1">
      <c r="A200" s="1694"/>
      <c r="B200" s="1694"/>
      <c r="C200" s="305" t="s">
        <v>1307</v>
      </c>
      <c r="D200" s="2761"/>
      <c r="E200" s="2519"/>
      <c r="F200" s="2651"/>
      <c r="G200" s="2737"/>
      <c r="H200" s="1416"/>
      <c r="I200" s="587" t="s">
        <v>1306</v>
      </c>
      <c r="J200" s="507"/>
      <c r="K200" s="1416"/>
      <c r="L200" s="151"/>
      <c r="M200" s="278"/>
      <c r="N200" s="271"/>
      <c r="O200" s="1540"/>
      <c r="P200" s="1540"/>
      <c r="AH200" s="1547">
        <v>0</v>
      </c>
    </row>
    <row r="201" spans="1:34" s="2360" customFormat="1" ht="0.75" hidden="1" customHeight="1">
      <c r="A201" s="1694"/>
      <c r="B201" s="1694"/>
      <c r="C201" s="305" t="s">
        <v>1314</v>
      </c>
      <c r="D201" s="2761"/>
      <c r="E201" s="2519"/>
      <c r="F201" s="2651"/>
      <c r="G201" s="336"/>
      <c r="H201" s="1416"/>
      <c r="I201" s="587"/>
      <c r="J201" s="507"/>
      <c r="K201" s="1416"/>
      <c r="L201" s="151"/>
      <c r="M201" s="278"/>
      <c r="N201" s="271"/>
      <c r="O201" s="1540"/>
      <c r="P201" s="1540"/>
      <c r="AH201" s="1547">
        <v>0</v>
      </c>
    </row>
    <row r="202" spans="1:34" s="2360" customFormat="1" ht="18.75" hidden="1" customHeight="1">
      <c r="A202" s="1694" t="s">
        <v>269</v>
      </c>
      <c r="B202" s="1694" t="s">
        <v>270</v>
      </c>
      <c r="C202" s="305"/>
      <c r="D202" s="2761"/>
      <c r="E202" s="2519"/>
      <c r="F202" s="2651" t="str">
        <f>INDEX(PT_DIFFERENTIATION_VTAR,MATCH(A202,PT_DIFFERENTIATION_VTAR_ID,0))</f>
        <v>Тариф на транспортировку сточных вод</v>
      </c>
      <c r="G202" s="2737" t="str">
        <f>INDEX(PT_DIFFERENTIATION_NTAR,MATCH(B202,PT_DIFFERENTIATION_NTAR_ID,0))</f>
        <v/>
      </c>
      <c r="H202" s="1774"/>
      <c r="I202" s="1654"/>
      <c r="J202" s="1688"/>
      <c r="K202" s="1692"/>
      <c r="L202" s="1774" t="s">
        <v>305</v>
      </c>
      <c r="M202" s="278"/>
      <c r="N202" s="271"/>
      <c r="O202" s="1540"/>
      <c r="P202" s="1540"/>
      <c r="AH202" s="1547">
        <v>0</v>
      </c>
    </row>
    <row r="203" spans="1:34" s="2360" customFormat="1" ht="18.75" hidden="1" customHeight="1">
      <c r="A203" s="1694"/>
      <c r="B203" s="1694"/>
      <c r="C203" s="305" t="s">
        <v>1307</v>
      </c>
      <c r="D203" s="2761"/>
      <c r="E203" s="2519"/>
      <c r="F203" s="2651"/>
      <c r="G203" s="2737"/>
      <c r="H203" s="1416"/>
      <c r="I203" s="587" t="s">
        <v>1306</v>
      </c>
      <c r="J203" s="507"/>
      <c r="K203" s="1416"/>
      <c r="L203" s="151"/>
      <c r="M203" s="278"/>
      <c r="N203" s="271"/>
      <c r="O203" s="1540"/>
      <c r="P203" s="1540"/>
      <c r="AH203" s="1547">
        <v>0</v>
      </c>
    </row>
    <row r="204" spans="1:34" s="2360" customFormat="1" ht="0.75" hidden="1" customHeight="1">
      <c r="A204" s="1694"/>
      <c r="B204" s="1694"/>
      <c r="C204" s="305" t="s">
        <v>1314</v>
      </c>
      <c r="D204" s="2761"/>
      <c r="E204" s="2519"/>
      <c r="F204" s="2651"/>
      <c r="G204" s="336"/>
      <c r="H204" s="1416"/>
      <c r="I204" s="587"/>
      <c r="J204" s="507"/>
      <c r="K204" s="1416"/>
      <c r="L204" s="151"/>
      <c r="M204" s="278"/>
      <c r="N204" s="271"/>
      <c r="O204" s="1540"/>
      <c r="P204" s="1540"/>
      <c r="AH204" s="1547">
        <v>0</v>
      </c>
    </row>
    <row r="205" spans="1:34" s="2360" customFormat="1" ht="18.75" hidden="1" customHeight="1">
      <c r="A205" s="1694" t="s">
        <v>274</v>
      </c>
      <c r="B205" s="1694" t="s">
        <v>275</v>
      </c>
      <c r="C205" s="305"/>
      <c r="D205" s="2761"/>
      <c r="E205" s="2519"/>
      <c r="F205" s="2651" t="str">
        <f>INDEX(PT_DIFFERENTIATION_VTAR,MATCH(A205,PT_DIFFERENTIATION_VTAR_ID,0))</f>
        <v>Тариф на подключение (технологическое присоединение) к централизованной системе водоотведения</v>
      </c>
      <c r="G205" s="2737" t="str">
        <f>INDEX(PT_DIFFERENTIATION_NTAR,MATCH(B205,PT_DIFFERENTIATION_NTAR_ID,0))</f>
        <v/>
      </c>
      <c r="H205" s="1774"/>
      <c r="I205" s="1654"/>
      <c r="J205" s="1688"/>
      <c r="K205" s="1692"/>
      <c r="L205" s="1774" t="s">
        <v>305</v>
      </c>
      <c r="M205" s="278"/>
      <c r="N205" s="271"/>
      <c r="O205" s="1540"/>
      <c r="P205" s="1540"/>
      <c r="AH205" s="1547">
        <v>0</v>
      </c>
    </row>
    <row r="206" spans="1:34" s="2360" customFormat="1" ht="18.75" hidden="1" customHeight="1">
      <c r="A206" s="1694"/>
      <c r="B206" s="1694"/>
      <c r="C206" s="305" t="s">
        <v>1307</v>
      </c>
      <c r="D206" s="2761"/>
      <c r="E206" s="2519"/>
      <c r="F206" s="2651"/>
      <c r="G206" s="2737"/>
      <c r="H206" s="1416"/>
      <c r="I206" s="587" t="s">
        <v>1306</v>
      </c>
      <c r="J206" s="507"/>
      <c r="K206" s="1416"/>
      <c r="L206" s="151"/>
      <c r="M206" s="278"/>
      <c r="N206" s="271"/>
      <c r="O206" s="1540"/>
      <c r="P206" s="1540"/>
      <c r="AH206" s="1547">
        <v>0</v>
      </c>
    </row>
    <row r="207" spans="1:34" s="2360" customFormat="1" ht="1.1499999999999999" customHeight="1">
      <c r="A207" s="1694"/>
      <c r="B207" s="1694"/>
      <c r="C207" s="305" t="s">
        <v>1314</v>
      </c>
      <c r="D207" s="2761"/>
      <c r="E207" s="2519"/>
      <c r="F207" s="2651"/>
      <c r="G207" s="336"/>
      <c r="H207" s="1416"/>
      <c r="I207" s="587"/>
      <c r="J207" s="507"/>
      <c r="K207" s="1416"/>
      <c r="L207" s="151"/>
      <c r="M207" s="278"/>
      <c r="N207" s="271"/>
      <c r="O207" s="1540"/>
      <c r="P207" s="1540"/>
      <c r="AH207" s="1547">
        <v>1</v>
      </c>
    </row>
    <row r="208" spans="1:34" ht="27.4" customHeight="1">
      <c r="A208" s="1694"/>
      <c r="B208" s="1694"/>
      <c r="D208" s="312"/>
      <c r="E208" s="85" t="s">
        <v>111</v>
      </c>
      <c r="F208" s="276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760"/>
      <c r="H208" s="2760"/>
      <c r="I208" s="2760"/>
      <c r="J208" s="2760"/>
      <c r="K208" s="2760"/>
      <c r="L208" s="2760"/>
      <c r="M208" s="234"/>
      <c r="N208" s="271"/>
      <c r="AH208" s="310">
        <v>26</v>
      </c>
    </row>
    <row r="209" spans="1:34" s="2360" customFormat="1" ht="60.75" hidden="1" customHeight="1">
      <c r="A209" s="1694" t="s">
        <v>156</v>
      </c>
      <c r="B209" s="1694" t="s">
        <v>157</v>
      </c>
      <c r="C209" s="305"/>
      <c r="D209" s="2761"/>
      <c r="E209" s="2519"/>
      <c r="F209" s="265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37" t="str">
        <f>INDEX(PT_DIFFERENTIATION_NTAR,MATCH(B209,PT_DIFFERENTIATION_NTAR_ID,0))</f>
        <v/>
      </c>
      <c r="H209" s="1774"/>
      <c r="I209" s="1654"/>
      <c r="J209" s="1688"/>
      <c r="K209" s="1692"/>
      <c r="L209" s="1774" t="s">
        <v>305</v>
      </c>
      <c r="M209" s="24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0"/>
      <c r="P209" s="1540"/>
      <c r="AH209" s="1547">
        <v>0</v>
      </c>
    </row>
    <row r="210" spans="1:34" s="2360" customFormat="1" ht="18.75" hidden="1" customHeight="1">
      <c r="A210" s="1694"/>
      <c r="B210" s="1694"/>
      <c r="C210" s="305" t="s">
        <v>1307</v>
      </c>
      <c r="D210" s="2761"/>
      <c r="E210" s="2519"/>
      <c r="F210" s="2651"/>
      <c r="G210" s="2737"/>
      <c r="H210" s="1416"/>
      <c r="I210" s="587" t="s">
        <v>1306</v>
      </c>
      <c r="J210" s="507"/>
      <c r="K210" s="1416"/>
      <c r="L210" s="151"/>
      <c r="M210" s="2480"/>
      <c r="N210" s="271"/>
      <c r="O210" s="1540"/>
      <c r="P210" s="1540"/>
      <c r="AH210" s="1547">
        <v>0</v>
      </c>
    </row>
    <row r="211" spans="1:34" s="2360" customFormat="1" ht="0.75" hidden="1" customHeight="1">
      <c r="A211" s="1694"/>
      <c r="B211" s="1694"/>
      <c r="C211" s="305" t="s">
        <v>1314</v>
      </c>
      <c r="D211" s="2761"/>
      <c r="E211" s="2519"/>
      <c r="F211" s="2651"/>
      <c r="G211" s="336"/>
      <c r="H211" s="1416"/>
      <c r="I211" s="587"/>
      <c r="J211" s="507"/>
      <c r="K211" s="1416"/>
      <c r="L211" s="151"/>
      <c r="M211" s="2480"/>
      <c r="N211" s="271"/>
      <c r="O211" s="1540"/>
      <c r="P211" s="1540"/>
      <c r="AH211" s="1547">
        <v>0</v>
      </c>
    </row>
    <row r="212" spans="1:34" s="2360" customFormat="1" ht="45" hidden="1" customHeight="1">
      <c r="A212" s="1694" t="s">
        <v>161</v>
      </c>
      <c r="B212" s="1694" t="s">
        <v>162</v>
      </c>
      <c r="C212" s="305"/>
      <c r="D212" s="2761"/>
      <c r="E212" s="2519"/>
      <c r="F212" s="2651" t="str">
        <f>INDEX(PT_DIFFERENTIATION_VTAR,MATCH(A212,PT_DIFFERENTIATION_VTAR_ID,0))</f>
        <v/>
      </c>
      <c r="G212" s="2737" t="str">
        <f>INDEX(PT_DIFFERENTIATION_NTAR,MATCH(B212,PT_DIFFERENTIATION_NTAR_ID,0))</f>
        <v/>
      </c>
      <c r="H212" s="1774"/>
      <c r="I212" s="1654"/>
      <c r="J212" s="1688"/>
      <c r="K212" s="1692"/>
      <c r="L212" s="1774" t="s">
        <v>305</v>
      </c>
      <c r="M212" s="2481"/>
      <c r="N212" s="271"/>
      <c r="O212" s="1540"/>
      <c r="P212" s="1540"/>
      <c r="AH212" s="1547">
        <v>0</v>
      </c>
    </row>
    <row r="213" spans="1:34" s="2360" customFormat="1" ht="18.75" hidden="1" customHeight="1">
      <c r="A213" s="1694"/>
      <c r="B213" s="1694"/>
      <c r="C213" s="305" t="s">
        <v>1307</v>
      </c>
      <c r="D213" s="2761"/>
      <c r="E213" s="2519"/>
      <c r="F213" s="2651"/>
      <c r="G213" s="2737"/>
      <c r="H213" s="1416"/>
      <c r="I213" s="587" t="s">
        <v>1306</v>
      </c>
      <c r="J213" s="507"/>
      <c r="K213" s="1416"/>
      <c r="L213" s="151"/>
      <c r="M213" s="1773"/>
      <c r="N213" s="271"/>
      <c r="O213" s="1540"/>
      <c r="P213" s="1540"/>
      <c r="AH213" s="1547">
        <v>0</v>
      </c>
    </row>
    <row r="214" spans="1:34" s="2360" customFormat="1" ht="0.75" hidden="1" customHeight="1">
      <c r="A214" s="1694"/>
      <c r="B214" s="1694"/>
      <c r="C214" s="305" t="s">
        <v>1314</v>
      </c>
      <c r="D214" s="2761"/>
      <c r="E214" s="2519"/>
      <c r="F214" s="2651"/>
      <c r="G214" s="336"/>
      <c r="H214" s="1416"/>
      <c r="I214" s="587"/>
      <c r="J214" s="507"/>
      <c r="K214" s="1416"/>
      <c r="L214" s="151"/>
      <c r="M214" s="278"/>
      <c r="N214" s="271"/>
      <c r="O214" s="1540"/>
      <c r="P214" s="1540"/>
      <c r="AH214" s="1547">
        <v>0</v>
      </c>
    </row>
    <row r="215" spans="1:34" s="2360" customFormat="1" ht="45" hidden="1" customHeight="1">
      <c r="A215" s="1694" t="s">
        <v>168</v>
      </c>
      <c r="B215" s="1694" t="s">
        <v>169</v>
      </c>
      <c r="C215" s="305"/>
      <c r="D215" s="2761"/>
      <c r="E215" s="2519"/>
      <c r="F215" s="265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37" t="str">
        <f>INDEX(PT_DIFFERENTIATION_NTAR,MATCH(B215,PT_DIFFERENTIATION_NTAR_ID,0))</f>
        <v/>
      </c>
      <c r="H215" s="1774"/>
      <c r="I215" s="1654"/>
      <c r="J215" s="1688"/>
      <c r="K215" s="1692"/>
      <c r="L215" s="1774" t="s">
        <v>305</v>
      </c>
      <c r="M215" s="278"/>
      <c r="N215" s="271"/>
      <c r="O215" s="1540"/>
      <c r="P215" s="1540"/>
      <c r="AH215" s="1547">
        <v>0</v>
      </c>
    </row>
    <row r="216" spans="1:34" s="2360" customFormat="1" ht="18.75" hidden="1" customHeight="1">
      <c r="A216" s="1694"/>
      <c r="B216" s="1694"/>
      <c r="C216" s="305" t="s">
        <v>1307</v>
      </c>
      <c r="D216" s="2761"/>
      <c r="E216" s="2519"/>
      <c r="F216" s="2651"/>
      <c r="G216" s="2737"/>
      <c r="H216" s="1416"/>
      <c r="I216" s="587" t="s">
        <v>1306</v>
      </c>
      <c r="J216" s="507"/>
      <c r="K216" s="1416"/>
      <c r="L216" s="151"/>
      <c r="M216" s="278"/>
      <c r="N216" s="271"/>
      <c r="O216" s="1540"/>
      <c r="P216" s="1540"/>
      <c r="AH216" s="1547">
        <v>0</v>
      </c>
    </row>
    <row r="217" spans="1:34" s="2360" customFormat="1" ht="0.75" hidden="1" customHeight="1">
      <c r="A217" s="1694"/>
      <c r="B217" s="1694"/>
      <c r="C217" s="305" t="s">
        <v>1314</v>
      </c>
      <c r="D217" s="2761"/>
      <c r="E217" s="2519"/>
      <c r="F217" s="2651"/>
      <c r="G217" s="336"/>
      <c r="H217" s="1416"/>
      <c r="I217" s="587"/>
      <c r="J217" s="507"/>
      <c r="K217" s="1416"/>
      <c r="L217" s="151"/>
      <c r="M217" s="278"/>
      <c r="N217" s="271"/>
      <c r="O217" s="1540"/>
      <c r="P217" s="1540"/>
      <c r="AH217" s="1547">
        <v>0</v>
      </c>
    </row>
    <row r="218" spans="1:34" s="2360" customFormat="1" ht="45" hidden="1" customHeight="1">
      <c r="A218" s="1694" t="s">
        <v>174</v>
      </c>
      <c r="B218" s="1694" t="s">
        <v>175</v>
      </c>
      <c r="C218" s="305"/>
      <c r="D218" s="2761"/>
      <c r="E218" s="2519"/>
      <c r="F218" s="265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37" t="str">
        <f>INDEX(PT_DIFFERENTIATION_NTAR,MATCH(B218,PT_DIFFERENTIATION_NTAR_ID,0))</f>
        <v/>
      </c>
      <c r="H218" s="1774"/>
      <c r="I218" s="1654"/>
      <c r="J218" s="1688"/>
      <c r="K218" s="1692"/>
      <c r="L218" s="1774" t="s">
        <v>305</v>
      </c>
      <c r="M218" s="278"/>
      <c r="N218" s="271"/>
      <c r="O218" s="1540"/>
      <c r="P218" s="1540"/>
      <c r="AH218" s="1547">
        <v>0</v>
      </c>
    </row>
    <row r="219" spans="1:34" s="2360" customFormat="1" ht="18.75" hidden="1" customHeight="1">
      <c r="A219" s="1694"/>
      <c r="B219" s="1694"/>
      <c r="C219" s="305" t="s">
        <v>1307</v>
      </c>
      <c r="D219" s="2761"/>
      <c r="E219" s="2519"/>
      <c r="F219" s="2651"/>
      <c r="G219" s="2737"/>
      <c r="H219" s="1416"/>
      <c r="I219" s="587" t="s">
        <v>1306</v>
      </c>
      <c r="J219" s="507"/>
      <c r="K219" s="1416"/>
      <c r="L219" s="151"/>
      <c r="M219" s="278"/>
      <c r="N219" s="271"/>
      <c r="O219" s="1540"/>
      <c r="P219" s="1540"/>
      <c r="AH219" s="1547">
        <v>0</v>
      </c>
    </row>
    <row r="220" spans="1:34" s="2360" customFormat="1" ht="0.75" hidden="1" customHeight="1">
      <c r="A220" s="1694"/>
      <c r="B220" s="1694"/>
      <c r="C220" s="305" t="s">
        <v>1314</v>
      </c>
      <c r="D220" s="2761"/>
      <c r="E220" s="2519"/>
      <c r="F220" s="2651"/>
      <c r="G220" s="336"/>
      <c r="H220" s="1416"/>
      <c r="I220" s="587"/>
      <c r="J220" s="507"/>
      <c r="K220" s="1416"/>
      <c r="L220" s="151"/>
      <c r="M220" s="278"/>
      <c r="N220" s="271"/>
      <c r="O220" s="1540"/>
      <c r="P220" s="1540"/>
      <c r="AH220" s="1547">
        <v>0</v>
      </c>
    </row>
    <row r="221" spans="1:34" s="2360" customFormat="1" ht="18.75" hidden="1" customHeight="1">
      <c r="A221" s="1694" t="s">
        <v>180</v>
      </c>
      <c r="B221" s="1694" t="s">
        <v>181</v>
      </c>
      <c r="C221" s="305"/>
      <c r="D221" s="2761"/>
      <c r="E221" s="2519"/>
      <c r="F221" s="2651" t="str">
        <f>INDEX(PT_DIFFERENTIATION_VTAR,MATCH(A221,PT_DIFFERENTIATION_VTAR_ID,0))</f>
        <v>Тарифы на услуги по передаче тепловой энергии</v>
      </c>
      <c r="G221" s="2737" t="str">
        <f>INDEX(PT_DIFFERENTIATION_NTAR,MATCH(B221,PT_DIFFERENTIATION_NTAR_ID,0))</f>
        <v/>
      </c>
      <c r="H221" s="1774"/>
      <c r="I221" s="1654"/>
      <c r="J221" s="1688"/>
      <c r="K221" s="1692"/>
      <c r="L221" s="1774" t="s">
        <v>305</v>
      </c>
      <c r="M221" s="278"/>
      <c r="N221" s="271"/>
      <c r="O221" s="1540"/>
      <c r="P221" s="1540"/>
      <c r="AH221" s="1547">
        <v>0</v>
      </c>
    </row>
    <row r="222" spans="1:34" s="2360" customFormat="1" ht="18.75" hidden="1" customHeight="1">
      <c r="A222" s="1694"/>
      <c r="B222" s="1694"/>
      <c r="C222" s="305" t="s">
        <v>1307</v>
      </c>
      <c r="D222" s="2761"/>
      <c r="E222" s="2519"/>
      <c r="F222" s="2651"/>
      <c r="G222" s="2737"/>
      <c r="H222" s="1416"/>
      <c r="I222" s="587" t="s">
        <v>1306</v>
      </c>
      <c r="J222" s="507"/>
      <c r="K222" s="1416"/>
      <c r="L222" s="151"/>
      <c r="M222" s="278"/>
      <c r="N222" s="271"/>
      <c r="O222" s="1540"/>
      <c r="P222" s="1540"/>
      <c r="AH222" s="1547">
        <v>0</v>
      </c>
    </row>
    <row r="223" spans="1:34" s="2360" customFormat="1" ht="0.75" hidden="1" customHeight="1">
      <c r="A223" s="1694"/>
      <c r="B223" s="1694"/>
      <c r="C223" s="305" t="s">
        <v>1314</v>
      </c>
      <c r="D223" s="2761"/>
      <c r="E223" s="2519"/>
      <c r="F223" s="2651"/>
      <c r="G223" s="336"/>
      <c r="H223" s="1416"/>
      <c r="I223" s="587"/>
      <c r="J223" s="507"/>
      <c r="K223" s="1416"/>
      <c r="L223" s="151"/>
      <c r="M223" s="278"/>
      <c r="N223" s="271"/>
      <c r="O223" s="1540"/>
      <c r="P223" s="1540"/>
      <c r="AH223" s="1547">
        <v>0</v>
      </c>
    </row>
    <row r="224" spans="1:34" s="2360" customFormat="1" ht="18.75" hidden="1" customHeight="1">
      <c r="A224" s="1694" t="s">
        <v>186</v>
      </c>
      <c r="B224" s="1694" t="s">
        <v>187</v>
      </c>
      <c r="C224" s="305"/>
      <c r="D224" s="2761"/>
      <c r="E224" s="2519"/>
      <c r="F224" s="2651" t="str">
        <f>INDEX(PT_DIFFERENTIATION_VTAR,MATCH(A224,PT_DIFFERENTIATION_VTAR_ID,0))</f>
        <v>Тарифы на услуги по передаче теплоносителя</v>
      </c>
      <c r="G224" s="2737" t="str">
        <f>INDEX(PT_DIFFERENTIATION_NTAR,MATCH(B224,PT_DIFFERENTIATION_NTAR_ID,0))</f>
        <v/>
      </c>
      <c r="H224" s="1774"/>
      <c r="I224" s="1654"/>
      <c r="J224" s="1688"/>
      <c r="K224" s="1692"/>
      <c r="L224" s="1774" t="s">
        <v>305</v>
      </c>
      <c r="M224" s="278"/>
      <c r="N224" s="271"/>
      <c r="O224" s="1540"/>
      <c r="P224" s="1540"/>
      <c r="AH224" s="1547">
        <v>0</v>
      </c>
    </row>
    <row r="225" spans="1:34" s="2360" customFormat="1" ht="18.75" hidden="1" customHeight="1">
      <c r="A225" s="1694"/>
      <c r="B225" s="1694"/>
      <c r="C225" s="305" t="s">
        <v>1307</v>
      </c>
      <c r="D225" s="2761"/>
      <c r="E225" s="2519"/>
      <c r="F225" s="2651"/>
      <c r="G225" s="2737"/>
      <c r="H225" s="1416"/>
      <c r="I225" s="587" t="s">
        <v>1306</v>
      </c>
      <c r="J225" s="507"/>
      <c r="K225" s="1416"/>
      <c r="L225" s="151"/>
      <c r="M225" s="278"/>
      <c r="N225" s="271"/>
      <c r="O225" s="1540"/>
      <c r="P225" s="1540"/>
      <c r="AH225" s="1547">
        <v>0</v>
      </c>
    </row>
    <row r="226" spans="1:34" s="2360" customFormat="1" ht="0.75" hidden="1" customHeight="1">
      <c r="A226" s="1694"/>
      <c r="B226" s="1694"/>
      <c r="C226" s="305" t="s">
        <v>1314</v>
      </c>
      <c r="D226" s="2761"/>
      <c r="E226" s="2519"/>
      <c r="F226" s="2651"/>
      <c r="G226" s="336"/>
      <c r="H226" s="1416"/>
      <c r="I226" s="587"/>
      <c r="J226" s="507"/>
      <c r="K226" s="1416"/>
      <c r="L226" s="151"/>
      <c r="M226" s="278"/>
      <c r="N226" s="271"/>
      <c r="O226" s="1540"/>
      <c r="P226" s="1540"/>
      <c r="AH226" s="1547">
        <v>0</v>
      </c>
    </row>
    <row r="227" spans="1:34" s="2360" customFormat="1" ht="18.75" hidden="1" customHeight="1">
      <c r="A227" s="1694" t="s">
        <v>192</v>
      </c>
      <c r="B227" s="1694" t="s">
        <v>193</v>
      </c>
      <c r="C227" s="305"/>
      <c r="D227" s="2761"/>
      <c r="E227" s="2519"/>
      <c r="F227" s="265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37" t="str">
        <f>INDEX(PT_DIFFERENTIATION_NTAR,MATCH(B227,PT_DIFFERENTIATION_NTAR_ID,0))</f>
        <v/>
      </c>
      <c r="H227" s="1774"/>
      <c r="I227" s="1654"/>
      <c r="J227" s="1688"/>
      <c r="K227" s="1692"/>
      <c r="L227" s="1774" t="s">
        <v>305</v>
      </c>
      <c r="M227" s="278"/>
      <c r="N227" s="271"/>
      <c r="O227" s="1540"/>
      <c r="P227" s="1540"/>
      <c r="AH227" s="1547">
        <v>0</v>
      </c>
    </row>
    <row r="228" spans="1:34" s="2360" customFormat="1" ht="18.75" hidden="1" customHeight="1">
      <c r="A228" s="1694"/>
      <c r="B228" s="1694"/>
      <c r="C228" s="305" t="s">
        <v>1307</v>
      </c>
      <c r="D228" s="2761"/>
      <c r="E228" s="2519"/>
      <c r="F228" s="2651"/>
      <c r="G228" s="2737"/>
      <c r="H228" s="1416"/>
      <c r="I228" s="587" t="s">
        <v>1306</v>
      </c>
      <c r="J228" s="507"/>
      <c r="K228" s="1416"/>
      <c r="L228" s="151"/>
      <c r="M228" s="278"/>
      <c r="N228" s="271"/>
      <c r="O228" s="1540"/>
      <c r="P228" s="1540"/>
      <c r="AH228" s="1547">
        <v>0</v>
      </c>
    </row>
    <row r="229" spans="1:34" s="2360" customFormat="1" ht="0.75" hidden="1" customHeight="1">
      <c r="A229" s="1694"/>
      <c r="B229" s="1694"/>
      <c r="C229" s="305" t="s">
        <v>1314</v>
      </c>
      <c r="D229" s="2761"/>
      <c r="E229" s="2519"/>
      <c r="F229" s="2651"/>
      <c r="G229" s="336"/>
      <c r="H229" s="1416"/>
      <c r="I229" s="587"/>
      <c r="J229" s="507"/>
      <c r="K229" s="1416"/>
      <c r="L229" s="151"/>
      <c r="M229" s="278"/>
      <c r="N229" s="271"/>
      <c r="O229" s="1540"/>
      <c r="P229" s="1540"/>
      <c r="AH229" s="1547">
        <v>0</v>
      </c>
    </row>
    <row r="230" spans="1:34" s="2360" customFormat="1" ht="18.75" hidden="1" customHeight="1">
      <c r="A230" s="1694" t="s">
        <v>198</v>
      </c>
      <c r="B230" s="1694" t="s">
        <v>199</v>
      </c>
      <c r="C230" s="305"/>
      <c r="D230" s="2761"/>
      <c r="E230" s="2519"/>
      <c r="F230" s="2651" t="str">
        <f>INDEX(PT_DIFFERENTIATION_VTAR,MATCH(A230,PT_DIFFERENTIATION_VTAR_ID,0))</f>
        <v>Плата за подключение (технологическое присоединение) к системе теплоснабжения</v>
      </c>
      <c r="G230" s="2737" t="str">
        <f>INDEX(PT_DIFFERENTIATION_NTAR,MATCH(B230,PT_DIFFERENTIATION_NTAR_ID,0))</f>
        <v/>
      </c>
      <c r="H230" s="1774"/>
      <c r="I230" s="1654"/>
      <c r="J230" s="1688"/>
      <c r="K230" s="1692"/>
      <c r="L230" s="1774" t="s">
        <v>305</v>
      </c>
      <c r="M230" s="278"/>
      <c r="N230" s="271"/>
      <c r="O230" s="1540"/>
      <c r="P230" s="1540"/>
      <c r="AH230" s="1547">
        <v>0</v>
      </c>
    </row>
    <row r="231" spans="1:34" s="2360" customFormat="1" ht="18.75" hidden="1" customHeight="1">
      <c r="A231" s="1694"/>
      <c r="B231" s="1694"/>
      <c r="C231" s="305" t="s">
        <v>1307</v>
      </c>
      <c r="D231" s="2761"/>
      <c r="E231" s="2519"/>
      <c r="F231" s="2651"/>
      <c r="G231" s="2737"/>
      <c r="H231" s="1416"/>
      <c r="I231" s="587" t="s">
        <v>1306</v>
      </c>
      <c r="J231" s="507"/>
      <c r="K231" s="1416"/>
      <c r="L231" s="151"/>
      <c r="M231" s="278"/>
      <c r="N231" s="271"/>
      <c r="O231" s="1540"/>
      <c r="P231" s="1540"/>
      <c r="AH231" s="1547">
        <v>0</v>
      </c>
    </row>
    <row r="232" spans="1:34" s="2360" customFormat="1" ht="0.75" hidden="1" customHeight="1">
      <c r="A232" s="1694"/>
      <c r="B232" s="1694"/>
      <c r="C232" s="305" t="s">
        <v>1314</v>
      </c>
      <c r="D232" s="2761"/>
      <c r="E232" s="2519"/>
      <c r="F232" s="2651"/>
      <c r="G232" s="336"/>
      <c r="H232" s="1416"/>
      <c r="I232" s="587"/>
      <c r="J232" s="507"/>
      <c r="K232" s="1416"/>
      <c r="L232" s="151"/>
      <c r="M232" s="278"/>
      <c r="N232" s="271"/>
      <c r="O232" s="1540"/>
      <c r="P232" s="1540"/>
      <c r="AH232" s="1547">
        <v>0</v>
      </c>
    </row>
    <row r="233" spans="1:34" s="2360" customFormat="1" ht="18.75" hidden="1" customHeight="1">
      <c r="A233" s="1694" t="s">
        <v>204</v>
      </c>
      <c r="B233" s="1694" t="s">
        <v>205</v>
      </c>
      <c r="C233" s="305"/>
      <c r="D233" s="2761"/>
      <c r="E233" s="2519"/>
      <c r="F233" s="2651" t="str">
        <f>INDEX(PT_DIFFERENTIATION_VTAR,MATCH(A233,PT_DIFFERENTIATION_VTAR_ID,0))</f>
        <v>Плата за подключение (технологическое присоединение) к системе теплоснабжения (индивидуальная)</v>
      </c>
      <c r="G233" s="2737" t="str">
        <f>INDEX(PT_DIFFERENTIATION_NTAR,MATCH(B233,PT_DIFFERENTIATION_NTAR_ID,0))</f>
        <v/>
      </c>
      <c r="H233" s="1898"/>
      <c r="I233" s="1654"/>
      <c r="J233" s="1688"/>
      <c r="K233" s="1692"/>
      <c r="L233" s="1898" t="s">
        <v>305</v>
      </c>
      <c r="M233" s="278"/>
      <c r="N233" s="271"/>
      <c r="O233" s="1540"/>
      <c r="P233" s="1540"/>
      <c r="AH233" s="1547">
        <v>0</v>
      </c>
    </row>
    <row r="234" spans="1:34" s="2360" customFormat="1" ht="18.75" hidden="1" customHeight="1">
      <c r="A234" s="1694"/>
      <c r="B234" s="1694"/>
      <c r="C234" s="305" t="s">
        <v>1307</v>
      </c>
      <c r="D234" s="2761"/>
      <c r="E234" s="2519"/>
      <c r="F234" s="2651"/>
      <c r="G234" s="2737"/>
      <c r="H234" s="1416"/>
      <c r="I234" s="587" t="s">
        <v>1306</v>
      </c>
      <c r="J234" s="507"/>
      <c r="K234" s="1416"/>
      <c r="L234" s="151"/>
      <c r="M234" s="278"/>
      <c r="N234" s="271"/>
      <c r="O234" s="1540"/>
      <c r="P234" s="1540"/>
      <c r="AH234" s="1547">
        <v>0</v>
      </c>
    </row>
    <row r="235" spans="1:34" s="2360" customFormat="1" ht="0.75" hidden="1" customHeight="1">
      <c r="A235" s="1694"/>
      <c r="B235" s="1694"/>
      <c r="C235" s="305" t="s">
        <v>1314</v>
      </c>
      <c r="D235" s="2761"/>
      <c r="E235" s="2519"/>
      <c r="F235" s="2651"/>
      <c r="G235" s="336"/>
      <c r="H235" s="1416"/>
      <c r="I235" s="587"/>
      <c r="J235" s="507"/>
      <c r="K235" s="1416"/>
      <c r="L235" s="151"/>
      <c r="M235" s="278"/>
      <c r="N235" s="271"/>
      <c r="O235" s="1540"/>
      <c r="P235" s="1540"/>
      <c r="AH235" s="1547">
        <v>0</v>
      </c>
    </row>
    <row r="236" spans="1:34" s="2360" customFormat="1" ht="18.75" hidden="1" customHeight="1">
      <c r="A236" s="1694" t="s">
        <v>224</v>
      </c>
      <c r="B236" s="1694" t="s">
        <v>225</v>
      </c>
      <c r="C236" s="305"/>
      <c r="D236" s="2761"/>
      <c r="E236" s="2519"/>
      <c r="F236" s="2651" t="str">
        <f>INDEX(PT_DIFFERENTIATION_VTAR,MATCH(A236,PT_DIFFERENTIATION_VTAR_ID,0))</f>
        <v>Тариф на питьевую воду (питьевое водоснабжение)</v>
      </c>
      <c r="G236" s="2737" t="str">
        <f>INDEX(PT_DIFFERENTIATION_NTAR,MATCH(B236,PT_DIFFERENTIATION_NTAR_ID,0))</f>
        <v/>
      </c>
      <c r="H236" s="1774"/>
      <c r="I236" s="1654"/>
      <c r="J236" s="1688"/>
      <c r="K236" s="1692"/>
      <c r="L236" s="1774" t="s">
        <v>305</v>
      </c>
      <c r="M236" s="278"/>
      <c r="N236" s="271"/>
      <c r="O236" s="1540"/>
      <c r="P236" s="1540"/>
      <c r="AH236" s="1547">
        <v>0</v>
      </c>
    </row>
    <row r="237" spans="1:34" s="2360" customFormat="1" ht="18.75" hidden="1" customHeight="1">
      <c r="A237" s="1694"/>
      <c r="B237" s="1694"/>
      <c r="C237" s="305" t="s">
        <v>1307</v>
      </c>
      <c r="D237" s="2761"/>
      <c r="E237" s="2519"/>
      <c r="F237" s="2651"/>
      <c r="G237" s="2737"/>
      <c r="H237" s="1416"/>
      <c r="I237" s="587" t="s">
        <v>1306</v>
      </c>
      <c r="J237" s="507"/>
      <c r="K237" s="1416"/>
      <c r="L237" s="151"/>
      <c r="M237" s="278"/>
      <c r="N237" s="271"/>
      <c r="O237" s="1540"/>
      <c r="P237" s="1540"/>
      <c r="AH237" s="1547">
        <v>0</v>
      </c>
    </row>
    <row r="238" spans="1:34" s="2360" customFormat="1" ht="0.75" hidden="1" customHeight="1">
      <c r="A238" s="1694"/>
      <c r="B238" s="1694"/>
      <c r="C238" s="305" t="s">
        <v>1314</v>
      </c>
      <c r="D238" s="2761"/>
      <c r="E238" s="2519"/>
      <c r="F238" s="2651"/>
      <c r="G238" s="336"/>
      <c r="H238" s="1416"/>
      <c r="I238" s="587"/>
      <c r="J238" s="507"/>
      <c r="K238" s="1416"/>
      <c r="L238" s="151"/>
      <c r="M238" s="278"/>
      <c r="N238" s="271"/>
      <c r="O238" s="1540"/>
      <c r="P238" s="1540"/>
      <c r="AH238" s="1547">
        <v>0</v>
      </c>
    </row>
    <row r="239" spans="1:34" s="2360" customFormat="1" ht="18.75" hidden="1" customHeight="1">
      <c r="A239" s="1694" t="s">
        <v>229</v>
      </c>
      <c r="B239" s="1694" t="s">
        <v>230</v>
      </c>
      <c r="C239" s="305"/>
      <c r="D239" s="2761"/>
      <c r="E239" s="2519"/>
      <c r="F239" s="2651" t="str">
        <f>INDEX(PT_DIFFERENTIATION_VTAR,MATCH(A239,PT_DIFFERENTIATION_VTAR_ID,0))</f>
        <v>Тариф на техническую воду</v>
      </c>
      <c r="G239" s="2737" t="str">
        <f>INDEX(PT_DIFFERENTIATION_NTAR,MATCH(B239,PT_DIFFERENTIATION_NTAR_ID,0))</f>
        <v/>
      </c>
      <c r="H239" s="1774"/>
      <c r="I239" s="1654"/>
      <c r="J239" s="1688"/>
      <c r="K239" s="1692"/>
      <c r="L239" s="1774" t="s">
        <v>305</v>
      </c>
      <c r="M239" s="278"/>
      <c r="N239" s="271"/>
      <c r="O239" s="1540"/>
      <c r="P239" s="1540"/>
      <c r="AH239" s="1547">
        <v>0</v>
      </c>
    </row>
    <row r="240" spans="1:34" s="2360" customFormat="1" ht="18.75" hidden="1" customHeight="1">
      <c r="A240" s="1694"/>
      <c r="B240" s="1694"/>
      <c r="C240" s="305" t="s">
        <v>1307</v>
      </c>
      <c r="D240" s="2761"/>
      <c r="E240" s="2519"/>
      <c r="F240" s="2651"/>
      <c r="G240" s="2737"/>
      <c r="H240" s="1416"/>
      <c r="I240" s="587" t="s">
        <v>1306</v>
      </c>
      <c r="J240" s="507"/>
      <c r="K240" s="1416"/>
      <c r="L240" s="151"/>
      <c r="M240" s="278"/>
      <c r="N240" s="271"/>
      <c r="O240" s="1540"/>
      <c r="P240" s="1540"/>
      <c r="AH240" s="1547">
        <v>0</v>
      </c>
    </row>
    <row r="241" spans="1:34" s="2360" customFormat="1" ht="0.75" hidden="1" customHeight="1">
      <c r="A241" s="1694"/>
      <c r="B241" s="1694"/>
      <c r="C241" s="305" t="s">
        <v>1314</v>
      </c>
      <c r="D241" s="2761"/>
      <c r="E241" s="2519"/>
      <c r="F241" s="2651"/>
      <c r="G241" s="336"/>
      <c r="H241" s="1416"/>
      <c r="I241" s="587"/>
      <c r="J241" s="507"/>
      <c r="K241" s="1416"/>
      <c r="L241" s="151"/>
      <c r="M241" s="278"/>
      <c r="N241" s="271"/>
      <c r="O241" s="1540"/>
      <c r="P241" s="1540"/>
      <c r="AH241" s="1547">
        <v>0</v>
      </c>
    </row>
    <row r="242" spans="1:34" s="2360" customFormat="1" ht="18.75" hidden="1" customHeight="1">
      <c r="A242" s="1694" t="s">
        <v>234</v>
      </c>
      <c r="B242" s="1694" t="s">
        <v>235</v>
      </c>
      <c r="C242" s="305"/>
      <c r="D242" s="2761"/>
      <c r="E242" s="2519"/>
      <c r="F242" s="2651" t="str">
        <f>INDEX(PT_DIFFERENTIATION_VTAR,MATCH(A242,PT_DIFFERENTIATION_VTAR_ID,0))</f>
        <v>Тариф на транспортировку воды</v>
      </c>
      <c r="G242" s="2737" t="str">
        <f>INDEX(PT_DIFFERENTIATION_NTAR,MATCH(B242,PT_DIFFERENTIATION_NTAR_ID,0))</f>
        <v/>
      </c>
      <c r="H242" s="1774"/>
      <c r="I242" s="1654"/>
      <c r="J242" s="1688"/>
      <c r="K242" s="1692"/>
      <c r="L242" s="1774" t="s">
        <v>305</v>
      </c>
      <c r="M242" s="278"/>
      <c r="N242" s="271"/>
      <c r="O242" s="1540"/>
      <c r="P242" s="1540"/>
      <c r="AH242" s="1547">
        <v>0</v>
      </c>
    </row>
    <row r="243" spans="1:34" s="2360" customFormat="1" ht="18.75" hidden="1" customHeight="1">
      <c r="A243" s="1694"/>
      <c r="B243" s="1694"/>
      <c r="C243" s="305" t="s">
        <v>1307</v>
      </c>
      <c r="D243" s="2761"/>
      <c r="E243" s="2519"/>
      <c r="F243" s="2651"/>
      <c r="G243" s="2737"/>
      <c r="H243" s="1416"/>
      <c r="I243" s="587" t="s">
        <v>1306</v>
      </c>
      <c r="J243" s="507"/>
      <c r="K243" s="1416"/>
      <c r="L243" s="151"/>
      <c r="M243" s="278"/>
      <c r="N243" s="271"/>
      <c r="O243" s="1540"/>
      <c r="P243" s="1540"/>
      <c r="AH243" s="1547">
        <v>0</v>
      </c>
    </row>
    <row r="244" spans="1:34" s="2360" customFormat="1" ht="0.75" hidden="1" customHeight="1">
      <c r="A244" s="1694"/>
      <c r="B244" s="1694"/>
      <c r="C244" s="305" t="s">
        <v>1314</v>
      </c>
      <c r="D244" s="2761"/>
      <c r="E244" s="2519"/>
      <c r="F244" s="2651"/>
      <c r="G244" s="336"/>
      <c r="H244" s="1416"/>
      <c r="I244" s="587"/>
      <c r="J244" s="507"/>
      <c r="K244" s="1416"/>
      <c r="L244" s="151"/>
      <c r="M244" s="278"/>
      <c r="N244" s="271"/>
      <c r="O244" s="1540"/>
      <c r="P244" s="1540"/>
      <c r="AH244" s="1547">
        <v>0</v>
      </c>
    </row>
    <row r="245" spans="1:34" s="2360" customFormat="1" ht="18.75" hidden="1" customHeight="1">
      <c r="A245" s="1694" t="s">
        <v>239</v>
      </c>
      <c r="B245" s="1694" t="s">
        <v>240</v>
      </c>
      <c r="C245" s="305"/>
      <c r="D245" s="2761"/>
      <c r="E245" s="2519"/>
      <c r="F245" s="2651" t="str">
        <f>INDEX(PT_DIFFERENTIATION_VTAR,MATCH(A245,PT_DIFFERENTIATION_VTAR_ID,0))</f>
        <v>Тариф на подвоз воды</v>
      </c>
      <c r="G245" s="2737" t="str">
        <f>INDEX(PT_DIFFERENTIATION_NTAR,MATCH(B245,PT_DIFFERENTIATION_NTAR_ID,0))</f>
        <v/>
      </c>
      <c r="H245" s="1774"/>
      <c r="I245" s="1654"/>
      <c r="J245" s="1688"/>
      <c r="K245" s="1692"/>
      <c r="L245" s="1774" t="s">
        <v>305</v>
      </c>
      <c r="M245" s="278"/>
      <c r="N245" s="271"/>
      <c r="O245" s="1540"/>
      <c r="P245" s="1540"/>
      <c r="AH245" s="1547">
        <v>0</v>
      </c>
    </row>
    <row r="246" spans="1:34" s="2360" customFormat="1" ht="18.75" hidden="1" customHeight="1">
      <c r="A246" s="1694"/>
      <c r="B246" s="1694"/>
      <c r="C246" s="305" t="s">
        <v>1307</v>
      </c>
      <c r="D246" s="2761"/>
      <c r="E246" s="2519"/>
      <c r="F246" s="2651"/>
      <c r="G246" s="2737"/>
      <c r="H246" s="1416"/>
      <c r="I246" s="587" t="s">
        <v>1306</v>
      </c>
      <c r="J246" s="507"/>
      <c r="K246" s="1416"/>
      <c r="L246" s="151"/>
      <c r="M246" s="278"/>
      <c r="N246" s="271"/>
      <c r="O246" s="1540"/>
      <c r="P246" s="1540"/>
      <c r="AH246" s="1547">
        <v>0</v>
      </c>
    </row>
    <row r="247" spans="1:34" s="2360" customFormat="1" ht="0.75" hidden="1" customHeight="1">
      <c r="A247" s="1694"/>
      <c r="B247" s="1694"/>
      <c r="C247" s="305" t="s">
        <v>1314</v>
      </c>
      <c r="D247" s="2761"/>
      <c r="E247" s="2519"/>
      <c r="F247" s="2651"/>
      <c r="G247" s="336"/>
      <c r="H247" s="1416"/>
      <c r="I247" s="587"/>
      <c r="J247" s="507"/>
      <c r="K247" s="1416"/>
      <c r="L247" s="151"/>
      <c r="M247" s="278"/>
      <c r="N247" s="271"/>
      <c r="O247" s="1540"/>
      <c r="P247" s="1540"/>
      <c r="AH247" s="1547">
        <v>0</v>
      </c>
    </row>
    <row r="248" spans="1:34" s="2360" customFormat="1" ht="18.75" hidden="1" customHeight="1">
      <c r="A248" s="1694" t="s">
        <v>244</v>
      </c>
      <c r="B248" s="1694" t="s">
        <v>245</v>
      </c>
      <c r="C248" s="305"/>
      <c r="D248" s="2761"/>
      <c r="E248" s="2519"/>
      <c r="F248" s="265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37" t="str">
        <f>INDEX(PT_DIFFERENTIATION_NTAR,MATCH(B248,PT_DIFFERENTIATION_NTAR_ID,0))</f>
        <v/>
      </c>
      <c r="H248" s="1774"/>
      <c r="I248" s="1654"/>
      <c r="J248" s="1688"/>
      <c r="K248" s="1692"/>
      <c r="L248" s="1774" t="s">
        <v>305</v>
      </c>
      <c r="M248" s="278"/>
      <c r="N248" s="271"/>
      <c r="O248" s="1540"/>
      <c r="P248" s="1540"/>
      <c r="AH248" s="1547">
        <v>0</v>
      </c>
    </row>
    <row r="249" spans="1:34" s="2360" customFormat="1" ht="18.75" hidden="1" customHeight="1">
      <c r="A249" s="1694"/>
      <c r="B249" s="1694"/>
      <c r="C249" s="305" t="s">
        <v>1307</v>
      </c>
      <c r="D249" s="2761"/>
      <c r="E249" s="2519"/>
      <c r="F249" s="2651"/>
      <c r="G249" s="2737"/>
      <c r="H249" s="1416"/>
      <c r="I249" s="587" t="s">
        <v>1306</v>
      </c>
      <c r="J249" s="507"/>
      <c r="K249" s="1416"/>
      <c r="L249" s="151"/>
      <c r="M249" s="278"/>
      <c r="N249" s="271"/>
      <c r="O249" s="1540"/>
      <c r="P249" s="1540"/>
      <c r="AH249" s="1547">
        <v>0</v>
      </c>
    </row>
    <row r="250" spans="1:34" s="2360" customFormat="1" ht="0.75" hidden="1" customHeight="1">
      <c r="A250" s="1694"/>
      <c r="B250" s="1694"/>
      <c r="C250" s="305" t="s">
        <v>1314</v>
      </c>
      <c r="D250" s="2761"/>
      <c r="E250" s="2519"/>
      <c r="F250" s="2651"/>
      <c r="G250" s="336"/>
      <c r="H250" s="1416"/>
      <c r="I250" s="587"/>
      <c r="J250" s="507"/>
      <c r="K250" s="1416"/>
      <c r="L250" s="151"/>
      <c r="M250" s="278"/>
      <c r="N250" s="271"/>
      <c r="O250" s="1540"/>
      <c r="P250" s="1540"/>
      <c r="AH250" s="1547">
        <v>0</v>
      </c>
    </row>
    <row r="251" spans="1:34" s="2360" customFormat="1" ht="18.75" hidden="1" customHeight="1">
      <c r="A251" s="1694" t="s">
        <v>249</v>
      </c>
      <c r="B251" s="1694" t="s">
        <v>250</v>
      </c>
      <c r="C251" s="305"/>
      <c r="D251" s="2761"/>
      <c r="E251" s="2519"/>
      <c r="F251" s="2651" t="str">
        <f>INDEX(PT_DIFFERENTIATION_VTAR,MATCH(A251,PT_DIFFERENTIATION_VTAR_ID,0))</f>
        <v>Тариф на горячую воду (горячее водоснабжение)</v>
      </c>
      <c r="G251" s="2737" t="str">
        <f>INDEX(PT_DIFFERENTIATION_NTAR,MATCH(B251,PT_DIFFERENTIATION_NTAR_ID,0))</f>
        <v/>
      </c>
      <c r="H251" s="1774"/>
      <c r="I251" s="1654"/>
      <c r="J251" s="1688"/>
      <c r="K251" s="1692"/>
      <c r="L251" s="1774" t="s">
        <v>305</v>
      </c>
      <c r="M251" s="278"/>
      <c r="N251" s="271"/>
      <c r="O251" s="1540"/>
      <c r="P251" s="1540"/>
      <c r="AH251" s="1547">
        <v>0</v>
      </c>
    </row>
    <row r="252" spans="1:34" s="2360" customFormat="1" ht="18.75" hidden="1" customHeight="1">
      <c r="A252" s="1694"/>
      <c r="B252" s="1694"/>
      <c r="C252" s="305" t="s">
        <v>1307</v>
      </c>
      <c r="D252" s="2761"/>
      <c r="E252" s="2519"/>
      <c r="F252" s="2651"/>
      <c r="G252" s="2737"/>
      <c r="H252" s="1416"/>
      <c r="I252" s="587" t="s">
        <v>1306</v>
      </c>
      <c r="J252" s="507"/>
      <c r="K252" s="1416"/>
      <c r="L252" s="151"/>
      <c r="M252" s="278"/>
      <c r="N252" s="271"/>
      <c r="O252" s="1540"/>
      <c r="P252" s="1540"/>
      <c r="AH252" s="1547">
        <v>0</v>
      </c>
    </row>
    <row r="253" spans="1:34" s="2360" customFormat="1" ht="0.75" hidden="1" customHeight="1">
      <c r="A253" s="1694"/>
      <c r="B253" s="1694"/>
      <c r="C253" s="305" t="s">
        <v>1314</v>
      </c>
      <c r="D253" s="2761"/>
      <c r="E253" s="2519"/>
      <c r="F253" s="2651"/>
      <c r="G253" s="336"/>
      <c r="H253" s="1416"/>
      <c r="I253" s="587"/>
      <c r="J253" s="507"/>
      <c r="K253" s="1416"/>
      <c r="L253" s="151"/>
      <c r="M253" s="278"/>
      <c r="N253" s="271"/>
      <c r="O253" s="1540"/>
      <c r="P253" s="1540"/>
      <c r="AH253" s="1547">
        <v>0</v>
      </c>
    </row>
    <row r="254" spans="1:34" s="2360" customFormat="1" ht="18.75" hidden="1" customHeight="1">
      <c r="A254" s="1694" t="s">
        <v>254</v>
      </c>
      <c r="B254" s="1694" t="s">
        <v>255</v>
      </c>
      <c r="C254" s="305"/>
      <c r="D254" s="2761"/>
      <c r="E254" s="2519"/>
      <c r="F254" s="2651" t="str">
        <f>INDEX(PT_DIFFERENTIATION_VTAR,MATCH(A254,PT_DIFFERENTIATION_VTAR_ID,0))</f>
        <v>Тариф на транспортировку горячей воды</v>
      </c>
      <c r="G254" s="2737" t="str">
        <f>INDEX(PT_DIFFERENTIATION_NTAR,MATCH(B254,PT_DIFFERENTIATION_NTAR_ID,0))</f>
        <v/>
      </c>
      <c r="H254" s="1774"/>
      <c r="I254" s="1654"/>
      <c r="J254" s="1688"/>
      <c r="K254" s="1692"/>
      <c r="L254" s="1774" t="s">
        <v>305</v>
      </c>
      <c r="M254" s="278"/>
      <c r="N254" s="271"/>
      <c r="O254" s="1540"/>
      <c r="P254" s="1540"/>
      <c r="AH254" s="1547">
        <v>0</v>
      </c>
    </row>
    <row r="255" spans="1:34" s="2360" customFormat="1" ht="18.75" hidden="1" customHeight="1">
      <c r="A255" s="1694"/>
      <c r="B255" s="1694"/>
      <c r="C255" s="305" t="s">
        <v>1307</v>
      </c>
      <c r="D255" s="2761"/>
      <c r="E255" s="2519"/>
      <c r="F255" s="2651"/>
      <c r="G255" s="2737"/>
      <c r="H255" s="1416"/>
      <c r="I255" s="587" t="s">
        <v>1306</v>
      </c>
      <c r="J255" s="507"/>
      <c r="K255" s="1416"/>
      <c r="L255" s="151"/>
      <c r="M255" s="278"/>
      <c r="N255" s="271"/>
      <c r="O255" s="1540"/>
      <c r="P255" s="1540"/>
      <c r="AH255" s="1547">
        <v>0</v>
      </c>
    </row>
    <row r="256" spans="1:34" s="2360" customFormat="1" ht="0.75" hidden="1" customHeight="1">
      <c r="A256" s="1694"/>
      <c r="B256" s="1694"/>
      <c r="C256" s="305" t="s">
        <v>1314</v>
      </c>
      <c r="D256" s="2761"/>
      <c r="E256" s="2519"/>
      <c r="F256" s="2651"/>
      <c r="G256" s="336"/>
      <c r="H256" s="1416"/>
      <c r="I256" s="587"/>
      <c r="J256" s="507"/>
      <c r="K256" s="1416"/>
      <c r="L256" s="151"/>
      <c r="M256" s="278"/>
      <c r="N256" s="271"/>
      <c r="O256" s="1540"/>
      <c r="P256" s="1540"/>
      <c r="AH256" s="1547">
        <v>0</v>
      </c>
    </row>
    <row r="257" spans="1:34" s="2360" customFormat="1" ht="18.75" hidden="1" customHeight="1">
      <c r="A257" s="1694" t="s">
        <v>259</v>
      </c>
      <c r="B257" s="1694" t="s">
        <v>260</v>
      </c>
      <c r="C257" s="305"/>
      <c r="D257" s="2761"/>
      <c r="E257" s="2519"/>
      <c r="F257" s="265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37" t="str">
        <f>INDEX(PT_DIFFERENTIATION_NTAR,MATCH(B257,PT_DIFFERENTIATION_NTAR_ID,0))</f>
        <v/>
      </c>
      <c r="H257" s="1774"/>
      <c r="I257" s="1654"/>
      <c r="J257" s="1688"/>
      <c r="K257" s="1692"/>
      <c r="L257" s="1774" t="s">
        <v>305</v>
      </c>
      <c r="M257" s="278"/>
      <c r="N257" s="271"/>
      <c r="O257" s="1540"/>
      <c r="P257" s="1540"/>
      <c r="AH257" s="1547">
        <v>0</v>
      </c>
    </row>
    <row r="258" spans="1:34" s="2360" customFormat="1" ht="18.75" hidden="1" customHeight="1">
      <c r="A258" s="1694"/>
      <c r="B258" s="1694"/>
      <c r="C258" s="305" t="s">
        <v>1307</v>
      </c>
      <c r="D258" s="2761"/>
      <c r="E258" s="2519"/>
      <c r="F258" s="2651"/>
      <c r="G258" s="2737"/>
      <c r="H258" s="1416"/>
      <c r="I258" s="587" t="s">
        <v>1306</v>
      </c>
      <c r="J258" s="507"/>
      <c r="K258" s="1416"/>
      <c r="L258" s="151"/>
      <c r="M258" s="278"/>
      <c r="N258" s="271"/>
      <c r="O258" s="1540"/>
      <c r="P258" s="1540"/>
      <c r="AH258" s="1547">
        <v>0</v>
      </c>
    </row>
    <row r="259" spans="1:34" s="2360" customFormat="1" ht="0.75" hidden="1" customHeight="1">
      <c r="A259" s="1694"/>
      <c r="B259" s="1694"/>
      <c r="C259" s="305" t="s">
        <v>1314</v>
      </c>
      <c r="D259" s="2761"/>
      <c r="E259" s="2519"/>
      <c r="F259" s="2651"/>
      <c r="G259" s="336"/>
      <c r="H259" s="1416"/>
      <c r="I259" s="587"/>
      <c r="J259" s="507"/>
      <c r="K259" s="1416"/>
      <c r="L259" s="151"/>
      <c r="M259" s="278"/>
      <c r="N259" s="271"/>
      <c r="O259" s="1540"/>
      <c r="P259" s="1540"/>
      <c r="AH259" s="1547">
        <v>0</v>
      </c>
    </row>
    <row r="260" spans="1:34" s="2360" customFormat="1" ht="18.75" hidden="1" customHeight="1">
      <c r="A260" s="1694" t="s">
        <v>264</v>
      </c>
      <c r="B260" s="1694" t="s">
        <v>265</v>
      </c>
      <c r="C260" s="305"/>
      <c r="D260" s="2761"/>
      <c r="E260" s="2519"/>
      <c r="F260" s="2651" t="str">
        <f>INDEX(PT_DIFFERENTIATION_VTAR,MATCH(A260,PT_DIFFERENTIATION_VTAR_ID,0))</f>
        <v>Тариф на водоотведение</v>
      </c>
      <c r="G260" s="2737" t="str">
        <f>INDEX(PT_DIFFERENTIATION_NTAR,MATCH(B260,PT_DIFFERENTIATION_NTAR_ID,0))</f>
        <v/>
      </c>
      <c r="H260" s="1774"/>
      <c r="I260" s="1654"/>
      <c r="J260" s="1688"/>
      <c r="K260" s="1692"/>
      <c r="L260" s="1774" t="s">
        <v>305</v>
      </c>
      <c r="M260" s="278"/>
      <c r="N260" s="271"/>
      <c r="O260" s="1540"/>
      <c r="P260" s="1540"/>
      <c r="AH260" s="1547">
        <v>0</v>
      </c>
    </row>
    <row r="261" spans="1:34" s="2360" customFormat="1" ht="18.75" hidden="1" customHeight="1">
      <c r="A261" s="1694"/>
      <c r="B261" s="1694"/>
      <c r="C261" s="305" t="s">
        <v>1307</v>
      </c>
      <c r="D261" s="2761"/>
      <c r="E261" s="2519"/>
      <c r="F261" s="2651"/>
      <c r="G261" s="2737"/>
      <c r="H261" s="1416"/>
      <c r="I261" s="587" t="s">
        <v>1306</v>
      </c>
      <c r="J261" s="507"/>
      <c r="K261" s="1416"/>
      <c r="L261" s="151"/>
      <c r="M261" s="278"/>
      <c r="N261" s="271"/>
      <c r="O261" s="1540"/>
      <c r="P261" s="1540"/>
      <c r="AH261" s="1547">
        <v>0</v>
      </c>
    </row>
    <row r="262" spans="1:34" s="2360" customFormat="1" ht="0.75" hidden="1" customHeight="1">
      <c r="A262" s="1694"/>
      <c r="B262" s="1694"/>
      <c r="C262" s="305" t="s">
        <v>1314</v>
      </c>
      <c r="D262" s="2761"/>
      <c r="E262" s="2519"/>
      <c r="F262" s="2651"/>
      <c r="G262" s="336"/>
      <c r="H262" s="1416"/>
      <c r="I262" s="587"/>
      <c r="J262" s="507"/>
      <c r="K262" s="1416"/>
      <c r="L262" s="151"/>
      <c r="M262" s="278"/>
      <c r="N262" s="271"/>
      <c r="O262" s="1540"/>
      <c r="P262" s="1540"/>
      <c r="AH262" s="1547">
        <v>0</v>
      </c>
    </row>
    <row r="263" spans="1:34" s="2360" customFormat="1" ht="18.75" hidden="1" customHeight="1">
      <c r="A263" s="1694" t="s">
        <v>269</v>
      </c>
      <c r="B263" s="1694" t="s">
        <v>270</v>
      </c>
      <c r="C263" s="305"/>
      <c r="D263" s="2761"/>
      <c r="E263" s="2519"/>
      <c r="F263" s="2651" t="str">
        <f>INDEX(PT_DIFFERENTIATION_VTAR,MATCH(A263,PT_DIFFERENTIATION_VTAR_ID,0))</f>
        <v>Тариф на транспортировку сточных вод</v>
      </c>
      <c r="G263" s="2737" t="str">
        <f>INDEX(PT_DIFFERENTIATION_NTAR,MATCH(B263,PT_DIFFERENTIATION_NTAR_ID,0))</f>
        <v/>
      </c>
      <c r="H263" s="1774"/>
      <c r="I263" s="1654"/>
      <c r="J263" s="1688"/>
      <c r="K263" s="1692"/>
      <c r="L263" s="1774" t="s">
        <v>305</v>
      </c>
      <c r="M263" s="278"/>
      <c r="N263" s="271"/>
      <c r="O263" s="1540"/>
      <c r="P263" s="1540"/>
      <c r="AH263" s="1547">
        <v>0</v>
      </c>
    </row>
    <row r="264" spans="1:34" s="2360" customFormat="1" ht="18.75" hidden="1" customHeight="1">
      <c r="A264" s="1694"/>
      <c r="B264" s="1694"/>
      <c r="C264" s="305" t="s">
        <v>1307</v>
      </c>
      <c r="D264" s="2761"/>
      <c r="E264" s="2519"/>
      <c r="F264" s="2651"/>
      <c r="G264" s="2737"/>
      <c r="H264" s="1416"/>
      <c r="I264" s="587" t="s">
        <v>1306</v>
      </c>
      <c r="J264" s="507"/>
      <c r="K264" s="1416"/>
      <c r="L264" s="151"/>
      <c r="M264" s="278"/>
      <c r="N264" s="271"/>
      <c r="O264" s="1540"/>
      <c r="P264" s="1540"/>
      <c r="AH264" s="1547">
        <v>0</v>
      </c>
    </row>
    <row r="265" spans="1:34" s="2360" customFormat="1" ht="0.75" hidden="1" customHeight="1">
      <c r="A265" s="1694"/>
      <c r="B265" s="1694"/>
      <c r="C265" s="305" t="s">
        <v>1314</v>
      </c>
      <c r="D265" s="2761"/>
      <c r="E265" s="2519"/>
      <c r="F265" s="2651"/>
      <c r="G265" s="336"/>
      <c r="H265" s="1416"/>
      <c r="I265" s="587"/>
      <c r="J265" s="507"/>
      <c r="K265" s="1416"/>
      <c r="L265" s="151"/>
      <c r="M265" s="278"/>
      <c r="N265" s="271"/>
      <c r="O265" s="1540"/>
      <c r="P265" s="1540"/>
      <c r="AH265" s="1547">
        <v>0</v>
      </c>
    </row>
    <row r="266" spans="1:34" s="2360" customFormat="1" ht="18.75" hidden="1" customHeight="1">
      <c r="A266" s="1694" t="s">
        <v>274</v>
      </c>
      <c r="B266" s="1694" t="s">
        <v>275</v>
      </c>
      <c r="C266" s="305"/>
      <c r="D266" s="2761"/>
      <c r="E266" s="2519"/>
      <c r="F266" s="2651" t="str">
        <f>INDEX(PT_DIFFERENTIATION_VTAR,MATCH(A266,PT_DIFFERENTIATION_VTAR_ID,0))</f>
        <v>Тариф на подключение (технологическое присоединение) к централизованной системе водоотведения</v>
      </c>
      <c r="G266" s="2737" t="str">
        <f>INDEX(PT_DIFFERENTIATION_NTAR,MATCH(B266,PT_DIFFERENTIATION_NTAR_ID,0))</f>
        <v/>
      </c>
      <c r="H266" s="1774"/>
      <c r="I266" s="1654"/>
      <c r="J266" s="1688"/>
      <c r="K266" s="1692"/>
      <c r="L266" s="1774" t="s">
        <v>305</v>
      </c>
      <c r="M266" s="278"/>
      <c r="N266" s="271"/>
      <c r="O266" s="1540"/>
      <c r="P266" s="1540"/>
      <c r="AH266" s="1547">
        <v>0</v>
      </c>
    </row>
    <row r="267" spans="1:34" s="2360" customFormat="1" ht="18.75" hidden="1" customHeight="1">
      <c r="A267" s="1694"/>
      <c r="B267" s="1694"/>
      <c r="C267" s="305" t="s">
        <v>1307</v>
      </c>
      <c r="D267" s="2761"/>
      <c r="E267" s="2519"/>
      <c r="F267" s="2651"/>
      <c r="G267" s="2737"/>
      <c r="H267" s="1416"/>
      <c r="I267" s="587" t="s">
        <v>1306</v>
      </c>
      <c r="J267" s="507"/>
      <c r="K267" s="1416"/>
      <c r="L267" s="151"/>
      <c r="M267" s="278"/>
      <c r="N267" s="271"/>
      <c r="O267" s="1540"/>
      <c r="P267" s="1540"/>
      <c r="AH267" s="1547">
        <v>0</v>
      </c>
    </row>
    <row r="268" spans="1:34" s="2360" customFormat="1" ht="1.1499999999999999" customHeight="1">
      <c r="A268" s="1694"/>
      <c r="B268" s="1694"/>
      <c r="C268" s="305" t="s">
        <v>1314</v>
      </c>
      <c r="D268" s="2761"/>
      <c r="E268" s="2519"/>
      <c r="F268" s="2651"/>
      <c r="G268" s="336"/>
      <c r="H268" s="1416"/>
      <c r="I268" s="587"/>
      <c r="J268" s="507"/>
      <c r="K268" s="1416"/>
      <c r="L268" s="151"/>
      <c r="M268" s="278"/>
      <c r="N268" s="271"/>
      <c r="O268" s="1540"/>
      <c r="P268" s="1540"/>
      <c r="AH268" s="1547">
        <v>1</v>
      </c>
    </row>
    <row r="269" spans="1:34" ht="27.4" customHeight="1">
      <c r="A269" s="1694"/>
      <c r="B269" s="1694"/>
      <c r="D269" s="312"/>
      <c r="E269" s="85" t="s">
        <v>92</v>
      </c>
      <c r="F269" s="276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760"/>
      <c r="H269" s="2760"/>
      <c r="I269" s="2760"/>
      <c r="J269" s="2760"/>
      <c r="K269" s="2760"/>
      <c r="L269" s="2760"/>
      <c r="M269" s="234"/>
      <c r="N269" s="271"/>
      <c r="AH269" s="310">
        <v>26</v>
      </c>
    </row>
    <row r="270" spans="1:34" s="2360" customFormat="1" ht="60.75" hidden="1" customHeight="1">
      <c r="A270" s="1694" t="s">
        <v>156</v>
      </c>
      <c r="B270" s="1694" t="s">
        <v>157</v>
      </c>
      <c r="C270" s="305"/>
      <c r="D270" s="2761"/>
      <c r="E270" s="2519"/>
      <c r="F270" s="265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37" t="str">
        <f>INDEX(PT_DIFFERENTIATION_NTAR,MATCH(B270,PT_DIFFERENTIATION_NTAR_ID,0))</f>
        <v/>
      </c>
      <c r="H270" s="1774"/>
      <c r="I270" s="1654"/>
      <c r="J270" s="1688"/>
      <c r="K270" s="1692"/>
      <c r="L270" s="1774" t="s">
        <v>305</v>
      </c>
      <c r="M270" s="24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0"/>
      <c r="P270" s="1540"/>
      <c r="AH270" s="1547">
        <v>0</v>
      </c>
    </row>
    <row r="271" spans="1:34" s="2360" customFormat="1" ht="18.75" hidden="1" customHeight="1">
      <c r="A271" s="1694"/>
      <c r="B271" s="1694"/>
      <c r="C271" s="305" t="s">
        <v>1307</v>
      </c>
      <c r="D271" s="2761"/>
      <c r="E271" s="2519"/>
      <c r="F271" s="2651"/>
      <c r="G271" s="2737"/>
      <c r="H271" s="1416"/>
      <c r="I271" s="587" t="s">
        <v>1306</v>
      </c>
      <c r="J271" s="507"/>
      <c r="K271" s="1416"/>
      <c r="L271" s="151"/>
      <c r="M271" s="2480"/>
      <c r="N271" s="271"/>
      <c r="O271" s="1540"/>
      <c r="P271" s="1540"/>
      <c r="AH271" s="1547">
        <v>0</v>
      </c>
    </row>
    <row r="272" spans="1:34" s="2360" customFormat="1" ht="0.75" hidden="1" customHeight="1">
      <c r="A272" s="1694"/>
      <c r="B272" s="1694"/>
      <c r="C272" s="305" t="s">
        <v>1314</v>
      </c>
      <c r="D272" s="2761"/>
      <c r="E272" s="2519"/>
      <c r="F272" s="2651"/>
      <c r="G272" s="336"/>
      <c r="H272" s="1416"/>
      <c r="I272" s="587"/>
      <c r="J272" s="507"/>
      <c r="K272" s="1416"/>
      <c r="L272" s="151"/>
      <c r="M272" s="2480"/>
      <c r="N272" s="271"/>
      <c r="O272" s="1540"/>
      <c r="P272" s="1540"/>
      <c r="AH272" s="1547">
        <v>0</v>
      </c>
    </row>
    <row r="273" spans="1:34" s="2360" customFormat="1" ht="45" hidden="1" customHeight="1">
      <c r="A273" s="1694" t="s">
        <v>161</v>
      </c>
      <c r="B273" s="1694" t="s">
        <v>162</v>
      </c>
      <c r="C273" s="305"/>
      <c r="D273" s="2761"/>
      <c r="E273" s="2519"/>
      <c r="F273" s="2651" t="str">
        <f>INDEX(PT_DIFFERENTIATION_VTAR,MATCH(A273,PT_DIFFERENTIATION_VTAR_ID,0))</f>
        <v/>
      </c>
      <c r="G273" s="2737" t="str">
        <f>INDEX(PT_DIFFERENTIATION_NTAR,MATCH(B273,PT_DIFFERENTIATION_NTAR_ID,0))</f>
        <v/>
      </c>
      <c r="H273" s="1774"/>
      <c r="I273" s="1654"/>
      <c r="J273" s="1688"/>
      <c r="K273" s="1692"/>
      <c r="L273" s="1774" t="s">
        <v>305</v>
      </c>
      <c r="M273" s="2481"/>
      <c r="N273" s="271"/>
      <c r="O273" s="1540"/>
      <c r="P273" s="1540"/>
      <c r="AH273" s="1547">
        <v>0</v>
      </c>
    </row>
    <row r="274" spans="1:34" s="2360" customFormat="1" ht="18.75" hidden="1" customHeight="1">
      <c r="A274" s="1694"/>
      <c r="B274" s="1694"/>
      <c r="C274" s="305" t="s">
        <v>1307</v>
      </c>
      <c r="D274" s="2761"/>
      <c r="E274" s="2519"/>
      <c r="F274" s="2651"/>
      <c r="G274" s="2737"/>
      <c r="H274" s="1416"/>
      <c r="I274" s="587" t="s">
        <v>1306</v>
      </c>
      <c r="J274" s="507"/>
      <c r="K274" s="1416"/>
      <c r="L274" s="151"/>
      <c r="M274" s="1773"/>
      <c r="N274" s="271"/>
      <c r="O274" s="1540"/>
      <c r="P274" s="1540"/>
      <c r="AH274" s="1547">
        <v>0</v>
      </c>
    </row>
    <row r="275" spans="1:34" s="2360" customFormat="1" ht="0.75" hidden="1" customHeight="1">
      <c r="A275" s="1694"/>
      <c r="B275" s="1694"/>
      <c r="C275" s="305" t="s">
        <v>1314</v>
      </c>
      <c r="D275" s="2761"/>
      <c r="E275" s="2519"/>
      <c r="F275" s="2651"/>
      <c r="G275" s="336"/>
      <c r="H275" s="1416"/>
      <c r="I275" s="587"/>
      <c r="J275" s="507"/>
      <c r="K275" s="1416"/>
      <c r="L275" s="151"/>
      <c r="M275" s="278"/>
      <c r="N275" s="271"/>
      <c r="O275" s="1540"/>
      <c r="P275" s="1540"/>
      <c r="AH275" s="1547">
        <v>0</v>
      </c>
    </row>
    <row r="276" spans="1:34" s="2360" customFormat="1" ht="45" hidden="1" customHeight="1">
      <c r="A276" s="1694" t="s">
        <v>168</v>
      </c>
      <c r="B276" s="1694" t="s">
        <v>169</v>
      </c>
      <c r="C276" s="305"/>
      <c r="D276" s="2761"/>
      <c r="E276" s="2519"/>
      <c r="F276" s="265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37" t="str">
        <f>INDEX(PT_DIFFERENTIATION_NTAR,MATCH(B276,PT_DIFFERENTIATION_NTAR_ID,0))</f>
        <v/>
      </c>
      <c r="H276" s="1774"/>
      <c r="I276" s="1654"/>
      <c r="J276" s="1688"/>
      <c r="K276" s="1692"/>
      <c r="L276" s="1774" t="s">
        <v>305</v>
      </c>
      <c r="M276" s="278"/>
      <c r="N276" s="271"/>
      <c r="O276" s="1540"/>
      <c r="P276" s="1540"/>
      <c r="AH276" s="1547">
        <v>0</v>
      </c>
    </row>
    <row r="277" spans="1:34" s="2360" customFormat="1" ht="18.75" hidden="1" customHeight="1">
      <c r="A277" s="1694"/>
      <c r="B277" s="1694"/>
      <c r="C277" s="305" t="s">
        <v>1307</v>
      </c>
      <c r="D277" s="2761"/>
      <c r="E277" s="2519"/>
      <c r="F277" s="2651"/>
      <c r="G277" s="2737"/>
      <c r="H277" s="1416"/>
      <c r="I277" s="587" t="s">
        <v>1306</v>
      </c>
      <c r="J277" s="507"/>
      <c r="K277" s="1416"/>
      <c r="L277" s="151"/>
      <c r="M277" s="278"/>
      <c r="N277" s="271"/>
      <c r="O277" s="1540"/>
      <c r="P277" s="1540"/>
      <c r="AH277" s="1547">
        <v>0</v>
      </c>
    </row>
    <row r="278" spans="1:34" s="2360" customFormat="1" ht="0.75" hidden="1" customHeight="1">
      <c r="A278" s="1694"/>
      <c r="B278" s="1694"/>
      <c r="C278" s="305" t="s">
        <v>1314</v>
      </c>
      <c r="D278" s="2761"/>
      <c r="E278" s="2519"/>
      <c r="F278" s="2651"/>
      <c r="G278" s="336"/>
      <c r="H278" s="1416"/>
      <c r="I278" s="587"/>
      <c r="J278" s="507"/>
      <c r="K278" s="1416"/>
      <c r="L278" s="151"/>
      <c r="M278" s="278"/>
      <c r="N278" s="271"/>
      <c r="O278" s="1540"/>
      <c r="P278" s="1540"/>
      <c r="AH278" s="1547">
        <v>0</v>
      </c>
    </row>
    <row r="279" spans="1:34" s="2360" customFormat="1" ht="45" hidden="1" customHeight="1">
      <c r="A279" s="1694" t="s">
        <v>174</v>
      </c>
      <c r="B279" s="1694" t="s">
        <v>175</v>
      </c>
      <c r="C279" s="305"/>
      <c r="D279" s="2761"/>
      <c r="E279" s="2519"/>
      <c r="F279" s="265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37" t="str">
        <f>INDEX(PT_DIFFERENTIATION_NTAR,MATCH(B279,PT_DIFFERENTIATION_NTAR_ID,0))</f>
        <v/>
      </c>
      <c r="H279" s="1774"/>
      <c r="I279" s="1654"/>
      <c r="J279" s="1688"/>
      <c r="K279" s="1692"/>
      <c r="L279" s="1774" t="s">
        <v>305</v>
      </c>
      <c r="M279" s="278"/>
      <c r="N279" s="271"/>
      <c r="O279" s="1540"/>
      <c r="P279" s="1540"/>
      <c r="AH279" s="1547">
        <v>0</v>
      </c>
    </row>
    <row r="280" spans="1:34" s="2360" customFormat="1" ht="18.75" hidden="1" customHeight="1">
      <c r="A280" s="1694"/>
      <c r="B280" s="1694"/>
      <c r="C280" s="305" t="s">
        <v>1307</v>
      </c>
      <c r="D280" s="2761"/>
      <c r="E280" s="2519"/>
      <c r="F280" s="2651"/>
      <c r="G280" s="2737"/>
      <c r="H280" s="1416"/>
      <c r="I280" s="587" t="s">
        <v>1306</v>
      </c>
      <c r="J280" s="507"/>
      <c r="K280" s="1416"/>
      <c r="L280" s="151"/>
      <c r="M280" s="278"/>
      <c r="N280" s="271"/>
      <c r="O280" s="1540"/>
      <c r="P280" s="1540"/>
      <c r="AH280" s="1547">
        <v>0</v>
      </c>
    </row>
    <row r="281" spans="1:34" s="2360" customFormat="1" ht="0.75" hidden="1" customHeight="1">
      <c r="A281" s="1694"/>
      <c r="B281" s="1694"/>
      <c r="C281" s="305" t="s">
        <v>1314</v>
      </c>
      <c r="D281" s="2761"/>
      <c r="E281" s="2519"/>
      <c r="F281" s="2651"/>
      <c r="G281" s="336"/>
      <c r="H281" s="1416"/>
      <c r="I281" s="587"/>
      <c r="J281" s="507"/>
      <c r="K281" s="1416"/>
      <c r="L281" s="151"/>
      <c r="M281" s="278"/>
      <c r="N281" s="271"/>
      <c r="O281" s="1540"/>
      <c r="P281" s="1540"/>
      <c r="AH281" s="1547">
        <v>0</v>
      </c>
    </row>
    <row r="282" spans="1:34" s="2360" customFormat="1" ht="18.75" hidden="1" customHeight="1">
      <c r="A282" s="1694" t="s">
        <v>180</v>
      </c>
      <c r="B282" s="1694" t="s">
        <v>181</v>
      </c>
      <c r="C282" s="305"/>
      <c r="D282" s="2761"/>
      <c r="E282" s="2519"/>
      <c r="F282" s="2651" t="str">
        <f>INDEX(PT_DIFFERENTIATION_VTAR,MATCH(A282,PT_DIFFERENTIATION_VTAR_ID,0))</f>
        <v>Тарифы на услуги по передаче тепловой энергии</v>
      </c>
      <c r="G282" s="2737" t="str">
        <f>INDEX(PT_DIFFERENTIATION_NTAR,MATCH(B282,PT_DIFFERENTIATION_NTAR_ID,0))</f>
        <v/>
      </c>
      <c r="H282" s="1774"/>
      <c r="I282" s="1654"/>
      <c r="J282" s="1688"/>
      <c r="K282" s="1692"/>
      <c r="L282" s="1774" t="s">
        <v>305</v>
      </c>
      <c r="M282" s="278"/>
      <c r="N282" s="271"/>
      <c r="O282" s="1540"/>
      <c r="P282" s="1540"/>
      <c r="AH282" s="1547">
        <v>0</v>
      </c>
    </row>
    <row r="283" spans="1:34" s="2360" customFormat="1" ht="18.75" hidden="1" customHeight="1">
      <c r="A283" s="1694"/>
      <c r="B283" s="1694"/>
      <c r="C283" s="305" t="s">
        <v>1307</v>
      </c>
      <c r="D283" s="2761"/>
      <c r="E283" s="2519"/>
      <c r="F283" s="2651"/>
      <c r="G283" s="2737"/>
      <c r="H283" s="1416"/>
      <c r="I283" s="587" t="s">
        <v>1306</v>
      </c>
      <c r="J283" s="507"/>
      <c r="K283" s="1416"/>
      <c r="L283" s="151"/>
      <c r="M283" s="278"/>
      <c r="N283" s="271"/>
      <c r="O283" s="1540"/>
      <c r="P283" s="1540"/>
      <c r="AH283" s="1547">
        <v>0</v>
      </c>
    </row>
    <row r="284" spans="1:34" s="2360" customFormat="1" ht="0.75" hidden="1" customHeight="1">
      <c r="A284" s="1694"/>
      <c r="B284" s="1694"/>
      <c r="C284" s="305" t="s">
        <v>1314</v>
      </c>
      <c r="D284" s="2761"/>
      <c r="E284" s="2519"/>
      <c r="F284" s="2651"/>
      <c r="G284" s="336"/>
      <c r="H284" s="1416"/>
      <c r="I284" s="587"/>
      <c r="J284" s="507"/>
      <c r="K284" s="1416"/>
      <c r="L284" s="151"/>
      <c r="M284" s="278"/>
      <c r="N284" s="271"/>
      <c r="O284" s="1540"/>
      <c r="P284" s="1540"/>
      <c r="AH284" s="1547">
        <v>0</v>
      </c>
    </row>
    <row r="285" spans="1:34" s="2360" customFormat="1" ht="18.75" hidden="1" customHeight="1">
      <c r="A285" s="1694" t="s">
        <v>186</v>
      </c>
      <c r="B285" s="1694" t="s">
        <v>187</v>
      </c>
      <c r="C285" s="305"/>
      <c r="D285" s="2761"/>
      <c r="E285" s="2519"/>
      <c r="F285" s="2651" t="str">
        <f>INDEX(PT_DIFFERENTIATION_VTAR,MATCH(A285,PT_DIFFERENTIATION_VTAR_ID,0))</f>
        <v>Тарифы на услуги по передаче теплоносителя</v>
      </c>
      <c r="G285" s="2737" t="str">
        <f>INDEX(PT_DIFFERENTIATION_NTAR,MATCH(B285,PT_DIFFERENTIATION_NTAR_ID,0))</f>
        <v/>
      </c>
      <c r="H285" s="1774"/>
      <c r="I285" s="1654"/>
      <c r="J285" s="1688"/>
      <c r="K285" s="1692"/>
      <c r="L285" s="1774" t="s">
        <v>305</v>
      </c>
      <c r="M285" s="278"/>
      <c r="N285" s="271"/>
      <c r="O285" s="1540"/>
      <c r="P285" s="1540"/>
      <c r="AH285" s="1547">
        <v>0</v>
      </c>
    </row>
    <row r="286" spans="1:34" s="2360" customFormat="1" ht="18.75" hidden="1" customHeight="1">
      <c r="A286" s="1694"/>
      <c r="B286" s="1694"/>
      <c r="C286" s="305" t="s">
        <v>1307</v>
      </c>
      <c r="D286" s="2761"/>
      <c r="E286" s="2519"/>
      <c r="F286" s="2651"/>
      <c r="G286" s="2737"/>
      <c r="H286" s="1416"/>
      <c r="I286" s="587" t="s">
        <v>1306</v>
      </c>
      <c r="J286" s="507"/>
      <c r="K286" s="1416"/>
      <c r="L286" s="151"/>
      <c r="M286" s="278"/>
      <c r="N286" s="271"/>
      <c r="O286" s="1540"/>
      <c r="P286" s="1540"/>
      <c r="AH286" s="1547">
        <v>0</v>
      </c>
    </row>
    <row r="287" spans="1:34" s="2360" customFormat="1" ht="0.75" hidden="1" customHeight="1">
      <c r="A287" s="1694"/>
      <c r="B287" s="1694"/>
      <c r="C287" s="305" t="s">
        <v>1314</v>
      </c>
      <c r="D287" s="2761"/>
      <c r="E287" s="2519"/>
      <c r="F287" s="2651"/>
      <c r="G287" s="336"/>
      <c r="H287" s="1416"/>
      <c r="I287" s="587"/>
      <c r="J287" s="507"/>
      <c r="K287" s="1416"/>
      <c r="L287" s="151"/>
      <c r="M287" s="278"/>
      <c r="N287" s="271"/>
      <c r="O287" s="1540"/>
      <c r="P287" s="1540"/>
      <c r="AH287" s="1547">
        <v>0</v>
      </c>
    </row>
    <row r="288" spans="1:34" s="2360" customFormat="1" ht="18.75" hidden="1" customHeight="1">
      <c r="A288" s="1694" t="s">
        <v>192</v>
      </c>
      <c r="B288" s="1694" t="s">
        <v>193</v>
      </c>
      <c r="C288" s="305"/>
      <c r="D288" s="2761"/>
      <c r="E288" s="2519"/>
      <c r="F288" s="265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37" t="str">
        <f>INDEX(PT_DIFFERENTIATION_NTAR,MATCH(B288,PT_DIFFERENTIATION_NTAR_ID,0))</f>
        <v/>
      </c>
      <c r="H288" s="1774"/>
      <c r="I288" s="1654"/>
      <c r="J288" s="1688"/>
      <c r="K288" s="1692"/>
      <c r="L288" s="1774" t="s">
        <v>305</v>
      </c>
      <c r="M288" s="278"/>
      <c r="N288" s="271"/>
      <c r="O288" s="1540"/>
      <c r="P288" s="1540"/>
      <c r="AH288" s="1547">
        <v>0</v>
      </c>
    </row>
    <row r="289" spans="1:34" s="2360" customFormat="1" ht="18.75" hidden="1" customHeight="1">
      <c r="A289" s="1694"/>
      <c r="B289" s="1694"/>
      <c r="C289" s="305" t="s">
        <v>1307</v>
      </c>
      <c r="D289" s="2761"/>
      <c r="E289" s="2519"/>
      <c r="F289" s="2651"/>
      <c r="G289" s="2737"/>
      <c r="H289" s="1416"/>
      <c r="I289" s="587" t="s">
        <v>1306</v>
      </c>
      <c r="J289" s="507"/>
      <c r="K289" s="1416"/>
      <c r="L289" s="151"/>
      <c r="M289" s="278"/>
      <c r="N289" s="271"/>
      <c r="O289" s="1540"/>
      <c r="P289" s="1540"/>
      <c r="AH289" s="1547">
        <v>0</v>
      </c>
    </row>
    <row r="290" spans="1:34" s="2360" customFormat="1" ht="0.75" hidden="1" customHeight="1">
      <c r="A290" s="1694"/>
      <c r="B290" s="1694"/>
      <c r="C290" s="305" t="s">
        <v>1314</v>
      </c>
      <c r="D290" s="2761"/>
      <c r="E290" s="2519"/>
      <c r="F290" s="2651"/>
      <c r="G290" s="336"/>
      <c r="H290" s="1416"/>
      <c r="I290" s="587"/>
      <c r="J290" s="507"/>
      <c r="K290" s="1416"/>
      <c r="L290" s="151"/>
      <c r="M290" s="278"/>
      <c r="N290" s="271"/>
      <c r="O290" s="1540"/>
      <c r="P290" s="1540"/>
      <c r="AH290" s="1547">
        <v>0</v>
      </c>
    </row>
    <row r="291" spans="1:34" s="2360" customFormat="1" ht="18.75" hidden="1" customHeight="1">
      <c r="A291" s="1694" t="s">
        <v>198</v>
      </c>
      <c r="B291" s="1694" t="s">
        <v>199</v>
      </c>
      <c r="C291" s="305"/>
      <c r="D291" s="2761"/>
      <c r="E291" s="2519"/>
      <c r="F291" s="2651" t="str">
        <f>INDEX(PT_DIFFERENTIATION_VTAR,MATCH(A291,PT_DIFFERENTIATION_VTAR_ID,0))</f>
        <v>Плата за подключение (технологическое присоединение) к системе теплоснабжения</v>
      </c>
      <c r="G291" s="2737" t="str">
        <f>INDEX(PT_DIFFERENTIATION_NTAR,MATCH(B291,PT_DIFFERENTIATION_NTAR_ID,0))</f>
        <v/>
      </c>
      <c r="H291" s="1774"/>
      <c r="I291" s="1654"/>
      <c r="J291" s="1688"/>
      <c r="K291" s="1692"/>
      <c r="L291" s="1774" t="s">
        <v>305</v>
      </c>
      <c r="M291" s="278"/>
      <c r="N291" s="271"/>
      <c r="O291" s="1540"/>
      <c r="P291" s="1540"/>
      <c r="AH291" s="1547">
        <v>0</v>
      </c>
    </row>
    <row r="292" spans="1:34" s="2360" customFormat="1" ht="18.75" hidden="1" customHeight="1">
      <c r="A292" s="1694"/>
      <c r="B292" s="1694"/>
      <c r="C292" s="305" t="s">
        <v>1307</v>
      </c>
      <c r="D292" s="2761"/>
      <c r="E292" s="2519"/>
      <c r="F292" s="2651"/>
      <c r="G292" s="2737"/>
      <c r="H292" s="1416"/>
      <c r="I292" s="587" t="s">
        <v>1306</v>
      </c>
      <c r="J292" s="507"/>
      <c r="K292" s="1416"/>
      <c r="L292" s="151"/>
      <c r="M292" s="278"/>
      <c r="N292" s="271"/>
      <c r="O292" s="1540"/>
      <c r="P292" s="1540"/>
      <c r="AH292" s="1547">
        <v>0</v>
      </c>
    </row>
    <row r="293" spans="1:34" s="2360" customFormat="1" ht="0.75" hidden="1" customHeight="1">
      <c r="A293" s="1694"/>
      <c r="B293" s="1694"/>
      <c r="C293" s="305" t="s">
        <v>1314</v>
      </c>
      <c r="D293" s="2761"/>
      <c r="E293" s="2519"/>
      <c r="F293" s="2651"/>
      <c r="G293" s="336"/>
      <c r="H293" s="1416"/>
      <c r="I293" s="587"/>
      <c r="J293" s="507"/>
      <c r="K293" s="1416"/>
      <c r="L293" s="151"/>
      <c r="M293" s="278"/>
      <c r="N293" s="271"/>
      <c r="O293" s="1540"/>
      <c r="P293" s="1540"/>
      <c r="AH293" s="1547">
        <v>0</v>
      </c>
    </row>
    <row r="294" spans="1:34" s="2360" customFormat="1" ht="18.75" hidden="1" customHeight="1">
      <c r="A294" s="1694" t="s">
        <v>204</v>
      </c>
      <c r="B294" s="1694" t="s">
        <v>205</v>
      </c>
      <c r="C294" s="305"/>
      <c r="D294" s="2761"/>
      <c r="E294" s="2519"/>
      <c r="F294" s="2651" t="str">
        <f>INDEX(PT_DIFFERENTIATION_VTAR,MATCH(A294,PT_DIFFERENTIATION_VTAR_ID,0))</f>
        <v>Плата за подключение (технологическое присоединение) к системе теплоснабжения (индивидуальная)</v>
      </c>
      <c r="G294" s="2737" t="str">
        <f>INDEX(PT_DIFFERENTIATION_NTAR,MATCH(B294,PT_DIFFERENTIATION_NTAR_ID,0))</f>
        <v/>
      </c>
      <c r="H294" s="1898"/>
      <c r="I294" s="1654"/>
      <c r="J294" s="1688"/>
      <c r="K294" s="1692"/>
      <c r="L294" s="1898" t="s">
        <v>305</v>
      </c>
      <c r="M294" s="278"/>
      <c r="N294" s="271"/>
      <c r="O294" s="1540"/>
      <c r="P294" s="1540"/>
      <c r="AH294" s="1547">
        <v>0</v>
      </c>
    </row>
    <row r="295" spans="1:34" s="2360" customFormat="1" ht="18.75" hidden="1" customHeight="1">
      <c r="A295" s="1694"/>
      <c r="B295" s="1694"/>
      <c r="C295" s="305" t="s">
        <v>1307</v>
      </c>
      <c r="D295" s="2761"/>
      <c r="E295" s="2519"/>
      <c r="F295" s="2651"/>
      <c r="G295" s="2737"/>
      <c r="H295" s="1416"/>
      <c r="I295" s="587" t="s">
        <v>1306</v>
      </c>
      <c r="J295" s="507"/>
      <c r="K295" s="1416"/>
      <c r="L295" s="151"/>
      <c r="M295" s="278"/>
      <c r="N295" s="271"/>
      <c r="O295" s="1540"/>
      <c r="P295" s="1540"/>
      <c r="AH295" s="1547">
        <v>0</v>
      </c>
    </row>
    <row r="296" spans="1:34" s="2360" customFormat="1" ht="0.75" hidden="1" customHeight="1">
      <c r="A296" s="1694"/>
      <c r="B296" s="1694"/>
      <c r="C296" s="305" t="s">
        <v>1314</v>
      </c>
      <c r="D296" s="2761"/>
      <c r="E296" s="2519"/>
      <c r="F296" s="2651"/>
      <c r="G296" s="336"/>
      <c r="H296" s="1416"/>
      <c r="I296" s="587"/>
      <c r="J296" s="507"/>
      <c r="K296" s="1416"/>
      <c r="L296" s="151"/>
      <c r="M296" s="278"/>
      <c r="N296" s="271"/>
      <c r="O296" s="1540"/>
      <c r="P296" s="1540"/>
      <c r="AH296" s="1547">
        <v>0</v>
      </c>
    </row>
    <row r="297" spans="1:34" s="2360" customFormat="1" ht="18.75" hidden="1" customHeight="1">
      <c r="A297" s="1694" t="s">
        <v>224</v>
      </c>
      <c r="B297" s="1694" t="s">
        <v>225</v>
      </c>
      <c r="C297" s="305"/>
      <c r="D297" s="2761"/>
      <c r="E297" s="2519"/>
      <c r="F297" s="2651" t="str">
        <f>INDEX(PT_DIFFERENTIATION_VTAR,MATCH(A297,PT_DIFFERENTIATION_VTAR_ID,0))</f>
        <v>Тариф на питьевую воду (питьевое водоснабжение)</v>
      </c>
      <c r="G297" s="2737" t="str">
        <f>INDEX(PT_DIFFERENTIATION_NTAR,MATCH(B297,PT_DIFFERENTIATION_NTAR_ID,0))</f>
        <v/>
      </c>
      <c r="H297" s="1774"/>
      <c r="I297" s="1654"/>
      <c r="J297" s="1688"/>
      <c r="K297" s="1692"/>
      <c r="L297" s="1774" t="s">
        <v>305</v>
      </c>
      <c r="M297" s="278"/>
      <c r="N297" s="271"/>
      <c r="O297" s="1540"/>
      <c r="P297" s="1540"/>
      <c r="AH297" s="1547">
        <v>0</v>
      </c>
    </row>
    <row r="298" spans="1:34" s="2360" customFormat="1" ht="18.75" hidden="1" customHeight="1">
      <c r="A298" s="1694"/>
      <c r="B298" s="1694"/>
      <c r="C298" s="305" t="s">
        <v>1307</v>
      </c>
      <c r="D298" s="2761"/>
      <c r="E298" s="2519"/>
      <c r="F298" s="2651"/>
      <c r="G298" s="2737"/>
      <c r="H298" s="1416"/>
      <c r="I298" s="587" t="s">
        <v>1306</v>
      </c>
      <c r="J298" s="507"/>
      <c r="K298" s="1416"/>
      <c r="L298" s="151"/>
      <c r="M298" s="278"/>
      <c r="N298" s="271"/>
      <c r="O298" s="1540"/>
      <c r="P298" s="1540"/>
      <c r="AH298" s="1547">
        <v>0</v>
      </c>
    </row>
    <row r="299" spans="1:34" s="2360" customFormat="1" ht="0.75" hidden="1" customHeight="1">
      <c r="A299" s="1694"/>
      <c r="B299" s="1694"/>
      <c r="C299" s="305" t="s">
        <v>1314</v>
      </c>
      <c r="D299" s="2761"/>
      <c r="E299" s="2519"/>
      <c r="F299" s="2651"/>
      <c r="G299" s="336"/>
      <c r="H299" s="1416"/>
      <c r="I299" s="587"/>
      <c r="J299" s="507"/>
      <c r="K299" s="1416"/>
      <c r="L299" s="151"/>
      <c r="M299" s="278"/>
      <c r="N299" s="271"/>
      <c r="O299" s="1540"/>
      <c r="P299" s="1540"/>
      <c r="AH299" s="1547">
        <v>0</v>
      </c>
    </row>
    <row r="300" spans="1:34" s="2360" customFormat="1" ht="18.75" hidden="1" customHeight="1">
      <c r="A300" s="1694" t="s">
        <v>229</v>
      </c>
      <c r="B300" s="1694" t="s">
        <v>230</v>
      </c>
      <c r="C300" s="305"/>
      <c r="D300" s="2761"/>
      <c r="E300" s="2519"/>
      <c r="F300" s="2651" t="str">
        <f>INDEX(PT_DIFFERENTIATION_VTAR,MATCH(A300,PT_DIFFERENTIATION_VTAR_ID,0))</f>
        <v>Тариф на техническую воду</v>
      </c>
      <c r="G300" s="2737" t="str">
        <f>INDEX(PT_DIFFERENTIATION_NTAR,MATCH(B300,PT_DIFFERENTIATION_NTAR_ID,0))</f>
        <v/>
      </c>
      <c r="H300" s="1774"/>
      <c r="I300" s="1654"/>
      <c r="J300" s="1688"/>
      <c r="K300" s="1692"/>
      <c r="L300" s="1774" t="s">
        <v>305</v>
      </c>
      <c r="M300" s="278"/>
      <c r="N300" s="271"/>
      <c r="O300" s="1540"/>
      <c r="P300" s="1540"/>
      <c r="AH300" s="1547">
        <v>0</v>
      </c>
    </row>
    <row r="301" spans="1:34" s="2360" customFormat="1" ht="18.75" hidden="1" customHeight="1">
      <c r="A301" s="1694"/>
      <c r="B301" s="1694"/>
      <c r="C301" s="305" t="s">
        <v>1307</v>
      </c>
      <c r="D301" s="2761"/>
      <c r="E301" s="2519"/>
      <c r="F301" s="2651"/>
      <c r="G301" s="2737"/>
      <c r="H301" s="1416"/>
      <c r="I301" s="587" t="s">
        <v>1306</v>
      </c>
      <c r="J301" s="507"/>
      <c r="K301" s="1416"/>
      <c r="L301" s="151"/>
      <c r="M301" s="278"/>
      <c r="N301" s="271"/>
      <c r="O301" s="1540"/>
      <c r="P301" s="1540"/>
      <c r="AH301" s="1547">
        <v>0</v>
      </c>
    </row>
    <row r="302" spans="1:34" s="2360" customFormat="1" ht="0.75" hidden="1" customHeight="1">
      <c r="A302" s="1694"/>
      <c r="B302" s="1694"/>
      <c r="C302" s="305" t="s">
        <v>1314</v>
      </c>
      <c r="D302" s="2761"/>
      <c r="E302" s="2519"/>
      <c r="F302" s="2651"/>
      <c r="G302" s="336"/>
      <c r="H302" s="1416"/>
      <c r="I302" s="587"/>
      <c r="J302" s="507"/>
      <c r="K302" s="1416"/>
      <c r="L302" s="151"/>
      <c r="M302" s="278"/>
      <c r="N302" s="271"/>
      <c r="O302" s="1540"/>
      <c r="P302" s="1540"/>
      <c r="AH302" s="1547">
        <v>0</v>
      </c>
    </row>
    <row r="303" spans="1:34" s="2360" customFormat="1" ht="18.75" hidden="1" customHeight="1">
      <c r="A303" s="1694" t="s">
        <v>234</v>
      </c>
      <c r="B303" s="1694" t="s">
        <v>235</v>
      </c>
      <c r="C303" s="305"/>
      <c r="D303" s="2761"/>
      <c r="E303" s="2519"/>
      <c r="F303" s="2651" t="str">
        <f>INDEX(PT_DIFFERENTIATION_VTAR,MATCH(A303,PT_DIFFERENTIATION_VTAR_ID,0))</f>
        <v>Тариф на транспортировку воды</v>
      </c>
      <c r="G303" s="2737" t="str">
        <f>INDEX(PT_DIFFERENTIATION_NTAR,MATCH(B303,PT_DIFFERENTIATION_NTAR_ID,0))</f>
        <v/>
      </c>
      <c r="H303" s="1774"/>
      <c r="I303" s="1654"/>
      <c r="J303" s="1688"/>
      <c r="K303" s="1692"/>
      <c r="L303" s="1774" t="s">
        <v>305</v>
      </c>
      <c r="M303" s="278"/>
      <c r="N303" s="271"/>
      <c r="O303" s="1540"/>
      <c r="P303" s="1540"/>
      <c r="AH303" s="1547">
        <v>0</v>
      </c>
    </row>
    <row r="304" spans="1:34" s="2360" customFormat="1" ht="18.75" hidden="1" customHeight="1">
      <c r="A304" s="1694"/>
      <c r="B304" s="1694"/>
      <c r="C304" s="305" t="s">
        <v>1307</v>
      </c>
      <c r="D304" s="2761"/>
      <c r="E304" s="2519"/>
      <c r="F304" s="2651"/>
      <c r="G304" s="2737"/>
      <c r="H304" s="1416"/>
      <c r="I304" s="587" t="s">
        <v>1306</v>
      </c>
      <c r="J304" s="507"/>
      <c r="K304" s="1416"/>
      <c r="L304" s="151"/>
      <c r="M304" s="278"/>
      <c r="N304" s="271"/>
      <c r="O304" s="1540"/>
      <c r="P304" s="1540"/>
      <c r="AH304" s="1547">
        <v>0</v>
      </c>
    </row>
    <row r="305" spans="1:34" s="2360" customFormat="1" ht="0.75" hidden="1" customHeight="1">
      <c r="A305" s="1694"/>
      <c r="B305" s="1694"/>
      <c r="C305" s="305" t="s">
        <v>1314</v>
      </c>
      <c r="D305" s="2761"/>
      <c r="E305" s="2519"/>
      <c r="F305" s="2651"/>
      <c r="G305" s="336"/>
      <c r="H305" s="1416"/>
      <c r="I305" s="587"/>
      <c r="J305" s="507"/>
      <c r="K305" s="1416"/>
      <c r="L305" s="151"/>
      <c r="M305" s="278"/>
      <c r="N305" s="271"/>
      <c r="O305" s="1540"/>
      <c r="P305" s="1540"/>
      <c r="AH305" s="1547">
        <v>0</v>
      </c>
    </row>
    <row r="306" spans="1:34" s="2360" customFormat="1" ht="18.75" hidden="1" customHeight="1">
      <c r="A306" s="1694" t="s">
        <v>239</v>
      </c>
      <c r="B306" s="1694" t="s">
        <v>240</v>
      </c>
      <c r="C306" s="305"/>
      <c r="D306" s="2761"/>
      <c r="E306" s="2519"/>
      <c r="F306" s="2651" t="str">
        <f>INDEX(PT_DIFFERENTIATION_VTAR,MATCH(A306,PT_DIFFERENTIATION_VTAR_ID,0))</f>
        <v>Тариф на подвоз воды</v>
      </c>
      <c r="G306" s="2737" t="str">
        <f>INDEX(PT_DIFFERENTIATION_NTAR,MATCH(B306,PT_DIFFERENTIATION_NTAR_ID,0))</f>
        <v/>
      </c>
      <c r="H306" s="1774"/>
      <c r="I306" s="1654"/>
      <c r="J306" s="1688"/>
      <c r="K306" s="1692"/>
      <c r="L306" s="1774" t="s">
        <v>305</v>
      </c>
      <c r="M306" s="278"/>
      <c r="N306" s="271"/>
      <c r="O306" s="1540"/>
      <c r="P306" s="1540"/>
      <c r="AH306" s="1547">
        <v>0</v>
      </c>
    </row>
    <row r="307" spans="1:34" s="2360" customFormat="1" ht="18.75" hidden="1" customHeight="1">
      <c r="A307" s="1694"/>
      <c r="B307" s="1694"/>
      <c r="C307" s="305" t="s">
        <v>1307</v>
      </c>
      <c r="D307" s="2761"/>
      <c r="E307" s="2519"/>
      <c r="F307" s="2651"/>
      <c r="G307" s="2737"/>
      <c r="H307" s="1416"/>
      <c r="I307" s="587" t="s">
        <v>1306</v>
      </c>
      <c r="J307" s="507"/>
      <c r="K307" s="1416"/>
      <c r="L307" s="151"/>
      <c r="M307" s="278"/>
      <c r="N307" s="271"/>
      <c r="O307" s="1540"/>
      <c r="P307" s="1540"/>
      <c r="AH307" s="1547">
        <v>0</v>
      </c>
    </row>
    <row r="308" spans="1:34" s="2360" customFormat="1" ht="0.75" hidden="1" customHeight="1">
      <c r="A308" s="1694"/>
      <c r="B308" s="1694"/>
      <c r="C308" s="305" t="s">
        <v>1314</v>
      </c>
      <c r="D308" s="2761"/>
      <c r="E308" s="2519"/>
      <c r="F308" s="2651"/>
      <c r="G308" s="336"/>
      <c r="H308" s="1416"/>
      <c r="I308" s="587"/>
      <c r="J308" s="507"/>
      <c r="K308" s="1416"/>
      <c r="L308" s="151"/>
      <c r="M308" s="278"/>
      <c r="N308" s="271"/>
      <c r="O308" s="1540"/>
      <c r="P308" s="1540"/>
      <c r="AH308" s="1547">
        <v>0</v>
      </c>
    </row>
    <row r="309" spans="1:34" s="2360" customFormat="1" ht="18.75" hidden="1" customHeight="1">
      <c r="A309" s="1694" t="s">
        <v>244</v>
      </c>
      <c r="B309" s="1694" t="s">
        <v>245</v>
      </c>
      <c r="C309" s="305"/>
      <c r="D309" s="2761"/>
      <c r="E309" s="2519"/>
      <c r="F309" s="265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37" t="str">
        <f>INDEX(PT_DIFFERENTIATION_NTAR,MATCH(B309,PT_DIFFERENTIATION_NTAR_ID,0))</f>
        <v/>
      </c>
      <c r="H309" s="1774"/>
      <c r="I309" s="1654"/>
      <c r="J309" s="1688"/>
      <c r="K309" s="1692"/>
      <c r="L309" s="1774" t="s">
        <v>305</v>
      </c>
      <c r="M309" s="278"/>
      <c r="N309" s="271"/>
      <c r="O309" s="1540"/>
      <c r="P309" s="1540"/>
      <c r="AH309" s="1547">
        <v>0</v>
      </c>
    </row>
    <row r="310" spans="1:34" s="2360" customFormat="1" ht="18.75" hidden="1" customHeight="1">
      <c r="A310" s="1694"/>
      <c r="B310" s="1694"/>
      <c r="C310" s="305" t="s">
        <v>1307</v>
      </c>
      <c r="D310" s="2761"/>
      <c r="E310" s="2519"/>
      <c r="F310" s="2651"/>
      <c r="G310" s="2737"/>
      <c r="H310" s="1416"/>
      <c r="I310" s="587" t="s">
        <v>1306</v>
      </c>
      <c r="J310" s="507"/>
      <c r="K310" s="1416"/>
      <c r="L310" s="151"/>
      <c r="M310" s="278"/>
      <c r="N310" s="271"/>
      <c r="O310" s="1540"/>
      <c r="P310" s="1540"/>
      <c r="AH310" s="1547">
        <v>0</v>
      </c>
    </row>
    <row r="311" spans="1:34" s="2360" customFormat="1" ht="0.75" hidden="1" customHeight="1">
      <c r="A311" s="1694"/>
      <c r="B311" s="1694"/>
      <c r="C311" s="305" t="s">
        <v>1314</v>
      </c>
      <c r="D311" s="2761"/>
      <c r="E311" s="2519"/>
      <c r="F311" s="2651"/>
      <c r="G311" s="336"/>
      <c r="H311" s="1416"/>
      <c r="I311" s="587"/>
      <c r="J311" s="507"/>
      <c r="K311" s="1416"/>
      <c r="L311" s="151"/>
      <c r="M311" s="278"/>
      <c r="N311" s="271"/>
      <c r="O311" s="1540"/>
      <c r="P311" s="1540"/>
      <c r="AH311" s="1547">
        <v>0</v>
      </c>
    </row>
    <row r="312" spans="1:34" s="2360" customFormat="1" ht="18.75" hidden="1" customHeight="1">
      <c r="A312" s="1694" t="s">
        <v>249</v>
      </c>
      <c r="B312" s="1694" t="s">
        <v>250</v>
      </c>
      <c r="C312" s="305"/>
      <c r="D312" s="2761"/>
      <c r="E312" s="2519"/>
      <c r="F312" s="2651" t="str">
        <f>INDEX(PT_DIFFERENTIATION_VTAR,MATCH(A312,PT_DIFFERENTIATION_VTAR_ID,0))</f>
        <v>Тариф на горячую воду (горячее водоснабжение)</v>
      </c>
      <c r="G312" s="2737" t="str">
        <f>INDEX(PT_DIFFERENTIATION_NTAR,MATCH(B312,PT_DIFFERENTIATION_NTAR_ID,0))</f>
        <v/>
      </c>
      <c r="H312" s="1774"/>
      <c r="I312" s="1654"/>
      <c r="J312" s="1688"/>
      <c r="K312" s="1692"/>
      <c r="L312" s="1774" t="s">
        <v>305</v>
      </c>
      <c r="M312" s="278"/>
      <c r="N312" s="271"/>
      <c r="O312" s="1540"/>
      <c r="P312" s="1540"/>
      <c r="AH312" s="1547">
        <v>0</v>
      </c>
    </row>
    <row r="313" spans="1:34" s="2360" customFormat="1" ht="18.75" hidden="1" customHeight="1">
      <c r="A313" s="1694"/>
      <c r="B313" s="1694"/>
      <c r="C313" s="305" t="s">
        <v>1307</v>
      </c>
      <c r="D313" s="2761"/>
      <c r="E313" s="2519"/>
      <c r="F313" s="2651"/>
      <c r="G313" s="2737"/>
      <c r="H313" s="1416"/>
      <c r="I313" s="587" t="s">
        <v>1306</v>
      </c>
      <c r="J313" s="507"/>
      <c r="K313" s="1416"/>
      <c r="L313" s="151"/>
      <c r="M313" s="278"/>
      <c r="N313" s="271"/>
      <c r="O313" s="1540"/>
      <c r="P313" s="1540"/>
      <c r="AH313" s="1547">
        <v>0</v>
      </c>
    </row>
    <row r="314" spans="1:34" s="2360" customFormat="1" ht="0.75" hidden="1" customHeight="1">
      <c r="A314" s="1694"/>
      <c r="B314" s="1694"/>
      <c r="C314" s="305" t="s">
        <v>1314</v>
      </c>
      <c r="D314" s="2761"/>
      <c r="E314" s="2519"/>
      <c r="F314" s="2651"/>
      <c r="G314" s="336"/>
      <c r="H314" s="1416"/>
      <c r="I314" s="587"/>
      <c r="J314" s="507"/>
      <c r="K314" s="1416"/>
      <c r="L314" s="151"/>
      <c r="M314" s="278"/>
      <c r="N314" s="271"/>
      <c r="O314" s="1540"/>
      <c r="P314" s="1540"/>
      <c r="AH314" s="1547">
        <v>0</v>
      </c>
    </row>
    <row r="315" spans="1:34" s="2360" customFormat="1" ht="18.75" hidden="1" customHeight="1">
      <c r="A315" s="1694" t="s">
        <v>254</v>
      </c>
      <c r="B315" s="1694" t="s">
        <v>255</v>
      </c>
      <c r="C315" s="305"/>
      <c r="D315" s="2761"/>
      <c r="E315" s="2519"/>
      <c r="F315" s="2651" t="str">
        <f>INDEX(PT_DIFFERENTIATION_VTAR,MATCH(A315,PT_DIFFERENTIATION_VTAR_ID,0))</f>
        <v>Тариф на транспортировку горячей воды</v>
      </c>
      <c r="G315" s="2737" t="str">
        <f>INDEX(PT_DIFFERENTIATION_NTAR,MATCH(B315,PT_DIFFERENTIATION_NTAR_ID,0))</f>
        <v/>
      </c>
      <c r="H315" s="1774"/>
      <c r="I315" s="1654"/>
      <c r="J315" s="1688"/>
      <c r="K315" s="1692"/>
      <c r="L315" s="1774" t="s">
        <v>305</v>
      </c>
      <c r="M315" s="278"/>
      <c r="N315" s="271"/>
      <c r="O315" s="1540"/>
      <c r="P315" s="1540"/>
      <c r="AH315" s="1547">
        <v>0</v>
      </c>
    </row>
    <row r="316" spans="1:34" s="2360" customFormat="1" ht="18.75" hidden="1" customHeight="1">
      <c r="A316" s="1694"/>
      <c r="B316" s="1694"/>
      <c r="C316" s="305" t="s">
        <v>1307</v>
      </c>
      <c r="D316" s="2761"/>
      <c r="E316" s="2519"/>
      <c r="F316" s="2651"/>
      <c r="G316" s="2737"/>
      <c r="H316" s="1416"/>
      <c r="I316" s="587" t="s">
        <v>1306</v>
      </c>
      <c r="J316" s="507"/>
      <c r="K316" s="1416"/>
      <c r="L316" s="151"/>
      <c r="M316" s="278"/>
      <c r="N316" s="271"/>
      <c r="O316" s="1540"/>
      <c r="P316" s="1540"/>
      <c r="AH316" s="1547">
        <v>0</v>
      </c>
    </row>
    <row r="317" spans="1:34" s="2360" customFormat="1" ht="0.75" hidden="1" customHeight="1">
      <c r="A317" s="1694"/>
      <c r="B317" s="1694"/>
      <c r="C317" s="305" t="s">
        <v>1314</v>
      </c>
      <c r="D317" s="2761"/>
      <c r="E317" s="2519"/>
      <c r="F317" s="2651"/>
      <c r="G317" s="336"/>
      <c r="H317" s="1416"/>
      <c r="I317" s="587"/>
      <c r="J317" s="507"/>
      <c r="K317" s="1416"/>
      <c r="L317" s="151"/>
      <c r="M317" s="278"/>
      <c r="N317" s="271"/>
      <c r="O317" s="1540"/>
      <c r="P317" s="1540"/>
      <c r="AH317" s="1547">
        <v>0</v>
      </c>
    </row>
    <row r="318" spans="1:34" s="2360" customFormat="1" ht="18.75" hidden="1" customHeight="1">
      <c r="A318" s="1694" t="s">
        <v>259</v>
      </c>
      <c r="B318" s="1694" t="s">
        <v>260</v>
      </c>
      <c r="C318" s="305"/>
      <c r="D318" s="2761"/>
      <c r="E318" s="2519"/>
      <c r="F318" s="265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37" t="str">
        <f>INDEX(PT_DIFFERENTIATION_NTAR,MATCH(B318,PT_DIFFERENTIATION_NTAR_ID,0))</f>
        <v/>
      </c>
      <c r="H318" s="1774"/>
      <c r="I318" s="1654"/>
      <c r="J318" s="1688"/>
      <c r="K318" s="1692"/>
      <c r="L318" s="1774" t="s">
        <v>305</v>
      </c>
      <c r="M318" s="278"/>
      <c r="N318" s="271"/>
      <c r="O318" s="1540"/>
      <c r="P318" s="1540"/>
      <c r="AH318" s="1547">
        <v>0</v>
      </c>
    </row>
    <row r="319" spans="1:34" s="2360" customFormat="1" ht="18.75" hidden="1" customHeight="1">
      <c r="A319" s="1694"/>
      <c r="B319" s="1694"/>
      <c r="C319" s="305" t="s">
        <v>1307</v>
      </c>
      <c r="D319" s="2761"/>
      <c r="E319" s="2519"/>
      <c r="F319" s="2651"/>
      <c r="G319" s="2737"/>
      <c r="H319" s="1416"/>
      <c r="I319" s="587" t="s">
        <v>1306</v>
      </c>
      <c r="J319" s="507"/>
      <c r="K319" s="1416"/>
      <c r="L319" s="151"/>
      <c r="M319" s="278"/>
      <c r="N319" s="271"/>
      <c r="O319" s="1540"/>
      <c r="P319" s="1540"/>
      <c r="AH319" s="1547">
        <v>0</v>
      </c>
    </row>
    <row r="320" spans="1:34" s="2360" customFormat="1" ht="0.75" hidden="1" customHeight="1">
      <c r="A320" s="1694"/>
      <c r="B320" s="1694"/>
      <c r="C320" s="305" t="s">
        <v>1314</v>
      </c>
      <c r="D320" s="2761"/>
      <c r="E320" s="2519"/>
      <c r="F320" s="2651"/>
      <c r="G320" s="336"/>
      <c r="H320" s="1416"/>
      <c r="I320" s="587"/>
      <c r="J320" s="507"/>
      <c r="K320" s="1416"/>
      <c r="L320" s="151"/>
      <c r="M320" s="278"/>
      <c r="N320" s="271"/>
      <c r="O320" s="1540"/>
      <c r="P320" s="1540"/>
      <c r="AH320" s="1547">
        <v>0</v>
      </c>
    </row>
    <row r="321" spans="1:34" s="2360" customFormat="1" ht="18.75" hidden="1" customHeight="1">
      <c r="A321" s="1694" t="s">
        <v>264</v>
      </c>
      <c r="B321" s="1694" t="s">
        <v>265</v>
      </c>
      <c r="C321" s="305"/>
      <c r="D321" s="2761"/>
      <c r="E321" s="2519"/>
      <c r="F321" s="2651" t="str">
        <f>INDEX(PT_DIFFERENTIATION_VTAR,MATCH(A321,PT_DIFFERENTIATION_VTAR_ID,0))</f>
        <v>Тариф на водоотведение</v>
      </c>
      <c r="G321" s="2737" t="str">
        <f>INDEX(PT_DIFFERENTIATION_NTAR,MATCH(B321,PT_DIFFERENTIATION_NTAR_ID,0))</f>
        <v/>
      </c>
      <c r="H321" s="1774"/>
      <c r="I321" s="1654"/>
      <c r="J321" s="1688"/>
      <c r="K321" s="1692"/>
      <c r="L321" s="1774" t="s">
        <v>305</v>
      </c>
      <c r="M321" s="278"/>
      <c r="N321" s="271"/>
      <c r="O321" s="1540"/>
      <c r="P321" s="1540"/>
      <c r="AH321" s="1547">
        <v>0</v>
      </c>
    </row>
    <row r="322" spans="1:34" s="2360" customFormat="1" ht="18.75" hidden="1" customHeight="1">
      <c r="A322" s="1694"/>
      <c r="B322" s="1694"/>
      <c r="C322" s="305" t="s">
        <v>1307</v>
      </c>
      <c r="D322" s="2761"/>
      <c r="E322" s="2519"/>
      <c r="F322" s="2651"/>
      <c r="G322" s="2737"/>
      <c r="H322" s="1416"/>
      <c r="I322" s="587" t="s">
        <v>1306</v>
      </c>
      <c r="J322" s="507"/>
      <c r="K322" s="1416"/>
      <c r="L322" s="151"/>
      <c r="M322" s="278"/>
      <c r="N322" s="271"/>
      <c r="O322" s="1540"/>
      <c r="P322" s="1540"/>
      <c r="AH322" s="1547">
        <v>0</v>
      </c>
    </row>
    <row r="323" spans="1:34" s="2360" customFormat="1" ht="0.75" hidden="1" customHeight="1">
      <c r="A323" s="1694"/>
      <c r="B323" s="1694"/>
      <c r="C323" s="305" t="s">
        <v>1314</v>
      </c>
      <c r="D323" s="2761"/>
      <c r="E323" s="2519"/>
      <c r="F323" s="2651"/>
      <c r="G323" s="336"/>
      <c r="H323" s="1416"/>
      <c r="I323" s="587"/>
      <c r="J323" s="507"/>
      <c r="K323" s="1416"/>
      <c r="L323" s="151"/>
      <c r="M323" s="278"/>
      <c r="N323" s="271"/>
      <c r="O323" s="1540"/>
      <c r="P323" s="1540"/>
      <c r="AH323" s="1547">
        <v>0</v>
      </c>
    </row>
    <row r="324" spans="1:34" s="2360" customFormat="1" ht="18.75" hidden="1" customHeight="1">
      <c r="A324" s="1694" t="s">
        <v>269</v>
      </c>
      <c r="B324" s="1694" t="s">
        <v>270</v>
      </c>
      <c r="C324" s="305"/>
      <c r="D324" s="2761"/>
      <c r="E324" s="2519"/>
      <c r="F324" s="2651" t="str">
        <f>INDEX(PT_DIFFERENTIATION_VTAR,MATCH(A324,PT_DIFFERENTIATION_VTAR_ID,0))</f>
        <v>Тариф на транспортировку сточных вод</v>
      </c>
      <c r="G324" s="2737" t="str">
        <f>INDEX(PT_DIFFERENTIATION_NTAR,MATCH(B324,PT_DIFFERENTIATION_NTAR_ID,0))</f>
        <v/>
      </c>
      <c r="H324" s="1774"/>
      <c r="I324" s="1654"/>
      <c r="J324" s="1688"/>
      <c r="K324" s="1692"/>
      <c r="L324" s="1774" t="s">
        <v>305</v>
      </c>
      <c r="M324" s="278"/>
      <c r="N324" s="271"/>
      <c r="O324" s="1540"/>
      <c r="P324" s="1540"/>
      <c r="AH324" s="1547">
        <v>0</v>
      </c>
    </row>
    <row r="325" spans="1:34" s="2360" customFormat="1" ht="18.75" hidden="1" customHeight="1">
      <c r="A325" s="1694"/>
      <c r="B325" s="1694"/>
      <c r="C325" s="305" t="s">
        <v>1307</v>
      </c>
      <c r="D325" s="2761"/>
      <c r="E325" s="2519"/>
      <c r="F325" s="2651"/>
      <c r="G325" s="2737"/>
      <c r="H325" s="1416"/>
      <c r="I325" s="587" t="s">
        <v>1306</v>
      </c>
      <c r="J325" s="507"/>
      <c r="K325" s="1416"/>
      <c r="L325" s="151"/>
      <c r="M325" s="278"/>
      <c r="N325" s="271"/>
      <c r="O325" s="1540"/>
      <c r="P325" s="1540"/>
      <c r="AH325" s="1547">
        <v>0</v>
      </c>
    </row>
    <row r="326" spans="1:34" s="2360" customFormat="1" ht="0.75" hidden="1" customHeight="1">
      <c r="A326" s="1694"/>
      <c r="B326" s="1694"/>
      <c r="C326" s="305" t="s">
        <v>1314</v>
      </c>
      <c r="D326" s="2761"/>
      <c r="E326" s="2519"/>
      <c r="F326" s="2651"/>
      <c r="G326" s="336"/>
      <c r="H326" s="1416"/>
      <c r="I326" s="587"/>
      <c r="J326" s="507"/>
      <c r="K326" s="1416"/>
      <c r="L326" s="151"/>
      <c r="M326" s="278"/>
      <c r="N326" s="271"/>
      <c r="O326" s="1540"/>
      <c r="P326" s="1540"/>
      <c r="AH326" s="1547">
        <v>0</v>
      </c>
    </row>
    <row r="327" spans="1:34" s="2360" customFormat="1" ht="18.75" hidden="1" customHeight="1">
      <c r="A327" s="1694" t="s">
        <v>274</v>
      </c>
      <c r="B327" s="1694" t="s">
        <v>275</v>
      </c>
      <c r="C327" s="305"/>
      <c r="D327" s="2761"/>
      <c r="E327" s="2519"/>
      <c r="F327" s="2651" t="str">
        <f>INDEX(PT_DIFFERENTIATION_VTAR,MATCH(A327,PT_DIFFERENTIATION_VTAR_ID,0))</f>
        <v>Тариф на подключение (технологическое присоединение) к централизованной системе водоотведения</v>
      </c>
      <c r="G327" s="2737" t="str">
        <f>INDEX(PT_DIFFERENTIATION_NTAR,MATCH(B327,PT_DIFFERENTIATION_NTAR_ID,0))</f>
        <v/>
      </c>
      <c r="H327" s="1774"/>
      <c r="I327" s="1654"/>
      <c r="J327" s="1688"/>
      <c r="K327" s="1692"/>
      <c r="L327" s="1774" t="s">
        <v>305</v>
      </c>
      <c r="M327" s="278"/>
      <c r="N327" s="271"/>
      <c r="O327" s="1540"/>
      <c r="P327" s="1540"/>
      <c r="AH327" s="1547">
        <v>0</v>
      </c>
    </row>
    <row r="328" spans="1:34" s="2360" customFormat="1" ht="18.75" hidden="1" customHeight="1">
      <c r="A328" s="1694"/>
      <c r="B328" s="1694"/>
      <c r="C328" s="305" t="s">
        <v>1307</v>
      </c>
      <c r="D328" s="2761"/>
      <c r="E328" s="2519"/>
      <c r="F328" s="2651"/>
      <c r="G328" s="2737"/>
      <c r="H328" s="1416"/>
      <c r="I328" s="587" t="s">
        <v>1306</v>
      </c>
      <c r="J328" s="507"/>
      <c r="K328" s="1416"/>
      <c r="L328" s="151"/>
      <c r="M328" s="278"/>
      <c r="N328" s="271"/>
      <c r="O328" s="1540"/>
      <c r="P328" s="1540"/>
      <c r="AH328" s="1547">
        <v>0</v>
      </c>
    </row>
    <row r="329" spans="1:34" s="2360" customFormat="1" ht="1.1499999999999999" customHeight="1">
      <c r="A329" s="1694"/>
      <c r="B329" s="1694"/>
      <c r="C329" s="305" t="s">
        <v>1314</v>
      </c>
      <c r="D329" s="2761"/>
      <c r="E329" s="2519"/>
      <c r="F329" s="2651"/>
      <c r="G329" s="336"/>
      <c r="H329" s="1416"/>
      <c r="I329" s="587"/>
      <c r="J329" s="507"/>
      <c r="K329" s="1416"/>
      <c r="L329" s="151"/>
      <c r="M329" s="278"/>
      <c r="N329" s="271"/>
      <c r="O329" s="1540"/>
      <c r="P329" s="1540"/>
      <c r="AH329" s="1547">
        <v>1</v>
      </c>
    </row>
    <row r="330" spans="1:34" s="2376" customFormat="1" ht="3" customHeight="1">
      <c r="A330" s="1694"/>
      <c r="B330" s="1694"/>
      <c r="C330" s="1695"/>
      <c r="E330" s="338"/>
      <c r="F330" s="338"/>
      <c r="G330" s="338"/>
      <c r="H330" s="338"/>
      <c r="I330" s="338"/>
      <c r="J330" s="338"/>
      <c r="K330" s="338"/>
      <c r="L330" s="338"/>
      <c r="M330" s="338"/>
      <c r="O330" s="133"/>
      <c r="P330" s="133"/>
      <c r="AH330" s="79">
        <v>3</v>
      </c>
    </row>
    <row r="331" spans="1:34" ht="26.25" customHeight="1">
      <c r="E331" s="139"/>
      <c r="F331" s="2562"/>
      <c r="G331" s="2562"/>
      <c r="H331" s="2562"/>
      <c r="I331" s="2562"/>
      <c r="J331" s="2562"/>
      <c r="K331" s="2562"/>
      <c r="L331" s="2562"/>
      <c r="M331" s="2562"/>
      <c r="AH331" s="310">
        <v>25</v>
      </c>
    </row>
    <row r="332" spans="1:34" ht="14.25" hidden="1" customHeight="1">
      <c r="A332" s="1693" t="s">
        <v>82</v>
      </c>
      <c r="B332" s="1693">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392" hidden="1" customWidth="1"/>
    <col min="2" max="2" width="9.140625" style="2357" hidden="1" customWidth="1"/>
    <col min="3" max="3" width="3" style="2359" customWidth="1"/>
    <col min="4" max="4" width="6" style="2360" customWidth="1"/>
    <col min="5" max="5" width="53" style="2360" customWidth="1"/>
    <col min="6" max="7" width="35" style="2360" customWidth="1"/>
    <col min="8" max="8" width="89" style="2360" customWidth="1"/>
    <col min="9" max="9" width="10" style="2360" customWidth="1"/>
    <col min="10" max="11" width="10" style="2358" customWidth="1"/>
    <col min="12" max="17" width="10" style="2360" customWidth="1"/>
    <col min="18" max="18" width="10.5703125" style="2360" hidden="1"/>
  </cols>
  <sheetData>
    <row r="1" spans="1:18" ht="22.5" hidden="1" customHeight="1">
      <c r="N1" s="192"/>
      <c r="O1" s="192"/>
      <c r="Q1" s="192"/>
      <c r="R1" s="310" t="s">
        <v>14</v>
      </c>
    </row>
    <row r="2" spans="1:18" s="2360" customFormat="1" ht="18.75" hidden="1" customHeight="1">
      <c r="A2" s="42"/>
      <c r="B2" s="1076"/>
      <c r="C2" s="1645" t="s">
        <v>568</v>
      </c>
      <c r="D2" s="1589"/>
      <c r="E2" s="1598"/>
      <c r="F2" s="194"/>
      <c r="G2" s="1077"/>
      <c r="H2" s="310"/>
      <c r="I2" s="1540"/>
      <c r="J2" s="1540"/>
      <c r="R2" s="1547">
        <v>0</v>
      </c>
    </row>
    <row r="3" spans="1:18" ht="14.25" hidden="1" customHeight="1">
      <c r="R3" s="310">
        <v>0</v>
      </c>
    </row>
    <row r="4" spans="1:18" ht="6.4" customHeight="1">
      <c r="C4" s="312"/>
      <c r="D4" s="299"/>
      <c r="E4" s="299"/>
      <c r="F4" s="299"/>
      <c r="G4" s="25"/>
      <c r="H4" s="25"/>
      <c r="R4" s="310">
        <v>6</v>
      </c>
    </row>
    <row r="5" spans="1:18" ht="34.5" customHeight="1">
      <c r="C5" s="312"/>
      <c r="D5" s="248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86"/>
      <c r="F5" s="2486"/>
      <c r="G5" s="2487"/>
      <c r="H5" s="203"/>
      <c r="R5" s="310">
        <v>33</v>
      </c>
    </row>
    <row r="6" spans="1:18" s="2360" customFormat="1" ht="18" customHeight="1">
      <c r="A6" s="1585"/>
      <c r="B6" s="1076"/>
      <c r="C6" s="312"/>
      <c r="D6" s="2538" t="str">
        <f>IF(org=0,"Не определено",org)</f>
        <v>ООО "Пятигорсктеплосервис"</v>
      </c>
      <c r="E6" s="2539"/>
      <c r="F6" s="2539"/>
      <c r="G6" s="2540"/>
      <c r="H6" s="203"/>
      <c r="J6" s="1540"/>
      <c r="K6" s="1540"/>
      <c r="R6" s="1547">
        <v>17</v>
      </c>
    </row>
    <row r="7" spans="1:18" ht="14.65" customHeight="1">
      <c r="C7" s="312"/>
      <c r="D7" s="299"/>
      <c r="E7" s="325"/>
      <c r="F7" s="325"/>
      <c r="G7" s="688"/>
      <c r="H7" s="130"/>
      <c r="R7" s="310">
        <v>14</v>
      </c>
    </row>
    <row r="8" spans="1:18" ht="14.65" customHeight="1">
      <c r="C8" s="312"/>
      <c r="D8" s="2524" t="s">
        <v>299</v>
      </c>
      <c r="E8" s="2524"/>
      <c r="F8" s="2524"/>
      <c r="G8" s="2524"/>
      <c r="H8" s="2665" t="s">
        <v>300</v>
      </c>
      <c r="R8" s="310">
        <v>14</v>
      </c>
    </row>
    <row r="9" spans="1:18" ht="24" customHeight="1">
      <c r="C9" s="312"/>
      <c r="D9" s="322" t="s">
        <v>88</v>
      </c>
      <c r="E9" s="48" t="s">
        <v>301</v>
      </c>
      <c r="F9" s="48" t="s">
        <v>302</v>
      </c>
      <c r="G9" s="48" t="s">
        <v>389</v>
      </c>
      <c r="H9" s="2665"/>
      <c r="R9" s="310">
        <v>23</v>
      </c>
    </row>
    <row r="10" spans="1:18" ht="14.65" customHeight="1">
      <c r="A10" s="280"/>
      <c r="C10" s="312"/>
      <c r="D10" s="85" t="s">
        <v>109</v>
      </c>
      <c r="E10" s="17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479" t="s">
        <v>1315</v>
      </c>
      <c r="R10" s="310">
        <v>14</v>
      </c>
    </row>
    <row r="11" spans="1:18" ht="14.65" customHeight="1">
      <c r="A11" s="280"/>
      <c r="C11" s="312"/>
      <c r="D11" s="85" t="s">
        <v>110</v>
      </c>
      <c r="E11" s="17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480"/>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4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480"/>
      <c r="I13" s="286"/>
      <c r="K13" s="310"/>
      <c r="R13" s="310">
        <v>14</v>
      </c>
    </row>
    <row r="14" spans="1:18" ht="14.65" customHeight="1">
      <c r="A14" s="280"/>
      <c r="C14" s="312"/>
      <c r="D14" s="284"/>
      <c r="E14" s="331" t="s">
        <v>321</v>
      </c>
      <c r="F14" s="285"/>
      <c r="G14" s="138"/>
      <c r="H14" s="2481"/>
      <c r="R14" s="310">
        <v>14</v>
      </c>
    </row>
    <row r="15" spans="1:18" s="2360" customFormat="1" ht="14.65" customHeight="1">
      <c r="A15" s="280"/>
      <c r="B15" s="1076"/>
      <c r="C15" s="312"/>
      <c r="D15" s="332"/>
      <c r="E15" s="1593"/>
      <c r="F15" s="1594"/>
      <c r="G15" s="1595"/>
      <c r="H15" s="1596"/>
      <c r="J15" s="1540"/>
      <c r="K15" s="1540"/>
      <c r="R15" s="1547">
        <v>14</v>
      </c>
    </row>
    <row r="16" spans="1:18" ht="14.65" customHeight="1">
      <c r="D16" s="1597"/>
      <c r="E16" s="2562"/>
      <c r="F16" s="2562"/>
      <c r="G16" s="2562"/>
      <c r="H16" s="2562"/>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358" hidden="1" customWidth="1"/>
    <col min="3" max="3" width="3" style="2380" customWidth="1"/>
    <col min="4" max="4" width="6" style="2380" customWidth="1"/>
    <col min="5" max="5" width="42" style="2380" customWidth="1"/>
    <col min="6" max="6" width="15" style="2380" customWidth="1"/>
    <col min="7" max="7" width="42" style="2380" customWidth="1"/>
    <col min="8" max="8" width="3" style="2380" customWidth="1"/>
    <col min="9" max="9" width="5" style="2380" customWidth="1"/>
    <col min="10" max="10" width="47" style="2380" customWidth="1"/>
    <col min="11" max="12" width="3" style="2380" customWidth="1"/>
    <col min="13" max="13" width="5" style="2380" customWidth="1"/>
    <col min="14" max="14" width="28" style="2380" customWidth="1"/>
    <col min="15" max="16" width="3" style="2380" customWidth="1"/>
    <col min="17" max="17" width="5" style="2380" customWidth="1"/>
    <col min="18" max="18" width="34" style="2380" customWidth="1"/>
    <col min="19" max="20" width="3.7109375" style="2380" customWidth="1"/>
    <col min="21" max="21" width="5.7109375" style="2380" customWidth="1"/>
    <col min="22" max="22" width="34.42578125" style="2380" customWidth="1"/>
    <col min="23" max="23" width="30" style="2380" customWidth="1"/>
    <col min="24" max="24" width="3" style="2380" customWidth="1"/>
    <col min="25" max="28" width="9.85546875" style="2365" hidden="1" customWidth="1"/>
    <col min="29" max="29" width="27" style="2365" hidden="1" customWidth="1"/>
    <col min="30" max="30" width="10.5703125" style="2365" hidden="1" customWidth="1"/>
    <col min="31" max="31" width="10.7109375" style="2365" hidden="1" customWidth="1"/>
    <col min="32" max="32" width="10" style="2365" hidden="1" customWidth="1"/>
    <col min="33" max="33" width="12.85546875" style="2365" hidden="1" customWidth="1"/>
    <col min="34" max="34" width="24.42578125" style="2365" hidden="1" customWidth="1"/>
    <col min="35" max="35" width="15.85546875" style="2365" hidden="1" customWidth="1"/>
    <col min="36" max="36" width="19.42578125" style="2365" hidden="1" customWidth="1"/>
    <col min="37" max="37" width="11" style="2365" hidden="1" customWidth="1"/>
    <col min="38" max="38" width="23.5703125" style="2365" hidden="1" customWidth="1"/>
    <col min="39" max="39" width="23.85546875" style="2365" hidden="1" customWidth="1"/>
    <col min="40" max="40" width="25.28515625" style="2365" hidden="1" customWidth="1"/>
    <col min="41" max="41" width="16.85546875" style="2365" hidden="1" customWidth="1"/>
    <col min="42" max="42" width="29.5703125" style="2365" hidden="1" customWidth="1"/>
    <col min="43" max="43" width="29.85546875" style="2365" hidden="1" customWidth="1"/>
    <col min="44" max="44" width="9.140625" style="238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323" customFormat="1" ht="30.4" customHeight="1">
      <c r="A5" s="92"/>
      <c r="B5" s="92"/>
      <c r="D5" s="24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86"/>
      <c r="F5" s="2486"/>
      <c r="G5" s="2486"/>
      <c r="H5" s="2486"/>
      <c r="I5" s="2486"/>
      <c r="J5" s="2487"/>
      <c r="K5" s="202"/>
      <c r="L5" s="81"/>
      <c r="M5" s="81"/>
      <c r="N5" s="81"/>
      <c r="O5" s="81"/>
      <c r="P5" s="81"/>
      <c r="Q5" s="81"/>
      <c r="R5" s="81"/>
      <c r="S5" s="227"/>
      <c r="T5" s="227"/>
      <c r="U5" s="227"/>
      <c r="V5" s="227"/>
      <c r="W5" s="81"/>
      <c r="Y5" s="1176"/>
      <c r="Z5" s="1176"/>
      <c r="AA5" s="1176"/>
      <c r="AB5" s="1176"/>
      <c r="AC5" s="1176"/>
      <c r="AD5" s="1176"/>
      <c r="AE5" s="1176"/>
      <c r="AF5" s="1176"/>
      <c r="AG5" s="1176"/>
      <c r="AH5" s="1176"/>
      <c r="AI5" s="1176"/>
      <c r="AJ5" s="1176"/>
      <c r="AK5" s="1176"/>
      <c r="AL5" s="1176"/>
      <c r="AM5" s="1176"/>
      <c r="AN5" s="1176"/>
      <c r="AO5" s="1176"/>
      <c r="AP5" s="1176"/>
      <c r="AQ5" s="1176"/>
      <c r="AR5" s="51">
        <v>29</v>
      </c>
    </row>
    <row r="6" spans="1:44" s="2323" customFormat="1" ht="14.65" customHeight="1">
      <c r="A6" s="521"/>
      <c r="B6" s="521"/>
      <c r="C6" s="521"/>
      <c r="D6" s="2491" t="str">
        <f>IF(org=0,"Не определено",org)</f>
        <v>ООО "Пятигорсктеплосервис"</v>
      </c>
      <c r="E6" s="2491"/>
      <c r="F6" s="2491"/>
      <c r="G6" s="2491"/>
      <c r="H6" s="2491"/>
      <c r="I6" s="2491"/>
      <c r="J6" s="2491"/>
      <c r="K6" s="522"/>
      <c r="L6" s="522"/>
      <c r="M6" s="522"/>
      <c r="N6" s="522"/>
      <c r="O6" s="796"/>
      <c r="P6" s="796"/>
      <c r="Q6" s="796"/>
      <c r="R6" s="796"/>
      <c r="S6" s="796"/>
      <c r="T6" s="796"/>
      <c r="U6" s="796"/>
      <c r="V6" s="796"/>
      <c r="W6" s="796"/>
      <c r="X6" s="522"/>
      <c r="Y6" s="1177"/>
      <c r="Z6" s="1177"/>
      <c r="AA6" s="1177"/>
      <c r="AB6" s="1177"/>
      <c r="AC6" s="1177"/>
      <c r="AD6" s="1177"/>
      <c r="AE6" s="1177"/>
      <c r="AF6" s="1177"/>
      <c r="AG6" s="1177"/>
      <c r="AH6" s="1177"/>
      <c r="AI6" s="1177"/>
      <c r="AJ6" s="1177"/>
      <c r="AK6" s="1177"/>
      <c r="AL6" s="1177"/>
      <c r="AM6" s="1177"/>
      <c r="AN6" s="1177"/>
      <c r="AO6" s="1177"/>
      <c r="AP6" s="1177"/>
      <c r="AQ6" s="1177"/>
      <c r="AR6" s="523">
        <v>14</v>
      </c>
    </row>
    <row r="7" spans="1:44" s="2322" customFormat="1" ht="11.45" customHeight="1">
      <c r="A7" s="148"/>
      <c r="B7" s="148"/>
      <c r="D7" s="2488"/>
      <c r="E7" s="2489"/>
      <c r="F7" s="2489"/>
      <c r="G7" s="2489"/>
      <c r="H7" s="2489"/>
      <c r="I7" s="2489"/>
      <c r="J7" s="2490"/>
      <c r="S7" s="236"/>
      <c r="T7" s="236"/>
      <c r="U7" s="236"/>
      <c r="V7" s="236"/>
      <c r="Y7" s="1178"/>
      <c r="Z7" s="1178"/>
      <c r="AA7" s="1178"/>
      <c r="AB7" s="1178"/>
      <c r="AC7" s="1178"/>
      <c r="AD7" s="1178"/>
      <c r="AE7" s="1178"/>
      <c r="AF7" s="1178"/>
      <c r="AG7" s="1178"/>
      <c r="AH7" s="1178"/>
      <c r="AI7" s="1178"/>
      <c r="AJ7" s="1178"/>
      <c r="AK7" s="1178"/>
      <c r="AL7" s="1178"/>
      <c r="AM7" s="1178"/>
      <c r="AN7" s="1178"/>
      <c r="AO7" s="1178"/>
      <c r="AP7" s="1178"/>
      <c r="AQ7" s="1178"/>
      <c r="AR7" s="213">
        <v>11</v>
      </c>
    </row>
    <row r="8" spans="1:44" s="2323"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6"/>
      <c r="Z8" s="1176"/>
      <c r="AA8" s="1176"/>
      <c r="AB8" s="1176"/>
      <c r="AC8" s="1176"/>
      <c r="AD8" s="1176"/>
      <c r="AE8" s="1176"/>
      <c r="AF8" s="1176"/>
      <c r="AG8" s="1176"/>
      <c r="AH8" s="1176"/>
      <c r="AI8" s="1176"/>
      <c r="AJ8" s="1176"/>
      <c r="AK8" s="1176"/>
      <c r="AL8" s="1176"/>
      <c r="AM8" s="1176"/>
      <c r="AN8" s="1176"/>
      <c r="AO8" s="1176"/>
      <c r="AP8" s="1176"/>
      <c r="AQ8" s="1176"/>
      <c r="AR8" s="51">
        <v>1</v>
      </c>
    </row>
    <row r="9" spans="1:44" ht="28.5" customHeight="1">
      <c r="D9" s="2435" t="s">
        <v>88</v>
      </c>
      <c r="E9" s="2417" t="s">
        <v>123</v>
      </c>
      <c r="F9" s="2416"/>
      <c r="G9" s="2435" t="s">
        <v>105</v>
      </c>
      <c r="H9" s="2435" t="s">
        <v>88</v>
      </c>
      <c r="I9" s="2435"/>
      <c r="J9" s="2435" t="s">
        <v>124</v>
      </c>
      <c r="K9" s="2492" t="s">
        <v>125</v>
      </c>
      <c r="L9" s="2492"/>
      <c r="M9" s="2492"/>
      <c r="N9" s="2492"/>
      <c r="O9" s="2492" t="s">
        <v>126</v>
      </c>
      <c r="P9" s="2492"/>
      <c r="Q9" s="2492"/>
      <c r="R9" s="2492"/>
      <c r="S9" s="2492" t="s">
        <v>127</v>
      </c>
      <c r="T9" s="2492"/>
      <c r="U9" s="2492"/>
      <c r="V9" s="2492"/>
      <c r="W9" s="2435" t="s">
        <v>128</v>
      </c>
      <c r="AR9" s="44">
        <v>27</v>
      </c>
    </row>
    <row r="10" spans="1:44" ht="31.5" customHeight="1">
      <c r="D10" s="2435"/>
      <c r="E10" s="1200" t="s">
        <v>89</v>
      </c>
      <c r="F10" s="1200" t="s">
        <v>129</v>
      </c>
      <c r="G10" s="2435"/>
      <c r="H10" s="2435"/>
      <c r="I10" s="2435"/>
      <c r="J10" s="2435"/>
      <c r="K10" s="50" t="s">
        <v>108</v>
      </c>
      <c r="L10" s="2435" t="s">
        <v>88</v>
      </c>
      <c r="M10" s="2435"/>
      <c r="N10" s="50" t="s">
        <v>130</v>
      </c>
      <c r="O10" s="50" t="s">
        <v>108</v>
      </c>
      <c r="P10" s="2435" t="s">
        <v>88</v>
      </c>
      <c r="Q10" s="2435"/>
      <c r="R10" s="50" t="s">
        <v>130</v>
      </c>
      <c r="S10" s="220" t="s">
        <v>108</v>
      </c>
      <c r="T10" s="2435" t="s">
        <v>88</v>
      </c>
      <c r="U10" s="2435"/>
      <c r="V10" s="220" t="s">
        <v>89</v>
      </c>
      <c r="W10" s="2435"/>
      <c r="Z10" s="1175" t="s">
        <v>131</v>
      </c>
      <c r="AA10" s="1175" t="s">
        <v>132</v>
      </c>
      <c r="AB10" s="1175" t="s">
        <v>133</v>
      </c>
      <c r="AC10" s="1175" t="s">
        <v>134</v>
      </c>
      <c r="AD10" s="1175" t="s">
        <v>135</v>
      </c>
      <c r="AE10" s="1175" t="s">
        <v>136</v>
      </c>
      <c r="AF10" s="1175" t="s">
        <v>137</v>
      </c>
      <c r="AG10" s="1175" t="s">
        <v>138</v>
      </c>
      <c r="AH10" s="1175" t="s">
        <v>139</v>
      </c>
      <c r="AI10" s="1175" t="s">
        <v>140</v>
      </c>
      <c r="AJ10" s="1175" t="s">
        <v>141</v>
      </c>
      <c r="AK10" s="1175" t="s">
        <v>142</v>
      </c>
      <c r="AL10" s="1175" t="s">
        <v>143</v>
      </c>
      <c r="AM10" s="1175" t="s">
        <v>144</v>
      </c>
      <c r="AN10" s="1175" t="s">
        <v>145</v>
      </c>
      <c r="AO10" s="1175" t="s">
        <v>146</v>
      </c>
      <c r="AP10" s="1175" t="s">
        <v>147</v>
      </c>
      <c r="AQ10" s="1175" t="s">
        <v>148</v>
      </c>
      <c r="AR10" s="44">
        <v>30</v>
      </c>
    </row>
    <row r="11" spans="1:44" s="2358" customFormat="1" ht="12" hidden="1" customHeight="1">
      <c r="D11" s="1165" t="s">
        <v>109</v>
      </c>
      <c r="E11" s="1165" t="s">
        <v>110</v>
      </c>
      <c r="F11" s="1165"/>
      <c r="G11" s="1165" t="s">
        <v>90</v>
      </c>
      <c r="H11" s="2484" t="s">
        <v>111</v>
      </c>
      <c r="I11" s="2484"/>
      <c r="J11" s="1165" t="s">
        <v>92</v>
      </c>
      <c r="K11" s="1165" t="s">
        <v>93</v>
      </c>
      <c r="L11" s="2484" t="s">
        <v>112</v>
      </c>
      <c r="M11" s="2484"/>
      <c r="N11" s="1165" t="s">
        <v>149</v>
      </c>
      <c r="O11" s="1165" t="s">
        <v>150</v>
      </c>
      <c r="P11" s="2484" t="s">
        <v>151</v>
      </c>
      <c r="Q11" s="2484"/>
      <c r="R11" s="1165" t="s">
        <v>152</v>
      </c>
      <c r="S11" s="1165" t="s">
        <v>151</v>
      </c>
      <c r="T11" s="2484" t="s">
        <v>152</v>
      </c>
      <c r="U11" s="2484"/>
      <c r="V11" s="1165" t="s">
        <v>153</v>
      </c>
      <c r="W11" s="1165" t="s">
        <v>154</v>
      </c>
      <c r="Y11" s="1175"/>
      <c r="Z11" s="1175"/>
      <c r="AA11" s="1175"/>
      <c r="AB11" s="1175"/>
      <c r="AC11" s="1175"/>
      <c r="AD11" s="1175"/>
      <c r="AE11" s="1175"/>
      <c r="AF11" s="1175"/>
      <c r="AG11" s="1175"/>
      <c r="AH11" s="1175"/>
      <c r="AI11" s="1175"/>
      <c r="AJ11" s="1175"/>
      <c r="AK11" s="1175"/>
      <c r="AL11" s="1175"/>
      <c r="AM11" s="1175"/>
      <c r="AN11" s="1175"/>
      <c r="AO11" s="1175"/>
      <c r="AP11" s="1175"/>
      <c r="AQ11" s="1175"/>
      <c r="AR11" s="214">
        <v>0</v>
      </c>
    </row>
    <row r="12" spans="1:44" ht="14.25" hidden="1" customHeight="1">
      <c r="C12" s="146"/>
      <c r="D12" s="1198">
        <v>0</v>
      </c>
      <c r="E12" s="187"/>
      <c r="F12" s="187"/>
      <c r="G12" s="187"/>
      <c r="H12" s="188"/>
      <c r="I12" s="188"/>
      <c r="J12" s="96"/>
      <c r="K12" s="52"/>
      <c r="L12" s="96"/>
      <c r="M12" s="96"/>
      <c r="N12" s="189"/>
      <c r="O12" s="52"/>
      <c r="P12" s="96"/>
      <c r="Q12" s="96"/>
      <c r="R12" s="190"/>
      <c r="S12" s="221"/>
      <c r="T12" s="229"/>
      <c r="U12" s="229"/>
      <c r="V12" s="233"/>
      <c r="W12" s="52"/>
      <c r="X12" s="80"/>
      <c r="AR12" s="44">
        <v>0</v>
      </c>
    </row>
    <row r="13" spans="1:44" s="2380" customFormat="1" ht="17.25" hidden="1" customHeight="1">
      <c r="A13" s="258"/>
      <c r="C13" s="146"/>
      <c r="D13" s="2468">
        <v>1</v>
      </c>
      <c r="E13" s="2457" t="s">
        <v>155</v>
      </c>
      <c r="F13" s="2470" t="s">
        <v>19</v>
      </c>
      <c r="G13" s="2457"/>
      <c r="H13" s="2459"/>
      <c r="I13" s="2461"/>
      <c r="J13" s="2463"/>
      <c r="K13" s="2455"/>
      <c r="L13" s="2455"/>
      <c r="M13" s="2455"/>
      <c r="N13" s="2466"/>
      <c r="O13" s="2455"/>
      <c r="P13" s="2455"/>
      <c r="Q13" s="2455"/>
      <c r="R13" s="2453"/>
      <c r="S13" s="2455"/>
      <c r="T13" s="1336"/>
      <c r="U13" s="1336"/>
      <c r="V13" s="1335"/>
      <c r="W13" s="1212"/>
      <c r="Y13" s="1183"/>
      <c r="Z13" s="1183"/>
      <c r="AA13" s="1183"/>
      <c r="AB13" s="1183"/>
      <c r="AC13" s="1183" t="s">
        <v>156</v>
      </c>
      <c r="AD13" s="1183" t="s">
        <v>157</v>
      </c>
      <c r="AE13" s="1183" t="s">
        <v>158</v>
      </c>
      <c r="AF13" s="1183" t="s">
        <v>159</v>
      </c>
      <c r="AG13" s="1183" t="s">
        <v>160</v>
      </c>
      <c r="AH13" s="118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3" t="str">
        <f>IF($G$13=0,"",$G$13)</f>
        <v/>
      </c>
      <c r="AJ13" s="1183" t="str">
        <f>IF($J$13=0,"",$J$13)</f>
        <v/>
      </c>
      <c r="AK13" s="1183" t="str">
        <f>IF($K$13="нет","без дифференциации",IF($N$13=0,"",$N$13))</f>
        <v/>
      </c>
      <c r="AL13" s="1183" t="str">
        <f>IF($O$13="нет","без дифференциации",IF($R$13=0,"",$R$13))</f>
        <v/>
      </c>
      <c r="AM13" s="1183" t="str">
        <f>IF($S$13="нет","без дифференциации",IF($V$13=0,"",$V$13))</f>
        <v/>
      </c>
      <c r="AN13" s="1183">
        <f>$I$13</f>
        <v>0</v>
      </c>
      <c r="AO13" s="1183" t="str">
        <f>$I$13&amp;"."&amp;$M$13</f>
        <v>.</v>
      </c>
      <c r="AP13" s="1183" t="str">
        <f>$I$13&amp;"."&amp;$M$13&amp;"."&amp;$Q$13</f>
        <v>..</v>
      </c>
      <c r="AQ13" s="1183" t="str">
        <f>$I$13&amp;"."&amp;$M$13&amp;"."&amp;$Q$13&amp;"."&amp;$U$13</f>
        <v>...</v>
      </c>
      <c r="AR13" s="686">
        <v>0</v>
      </c>
    </row>
    <row r="14" spans="1:44" s="2380" customFormat="1" ht="17.25" hidden="1" customHeight="1">
      <c r="A14" s="258"/>
      <c r="C14" s="257"/>
      <c r="D14" s="2468"/>
      <c r="E14" s="2457"/>
      <c r="F14" s="2471"/>
      <c r="G14" s="2457"/>
      <c r="H14" s="2460"/>
      <c r="I14" s="2462"/>
      <c r="J14" s="2464"/>
      <c r="K14" s="2456"/>
      <c r="L14" s="2456"/>
      <c r="M14" s="2456"/>
      <c r="N14" s="2467"/>
      <c r="O14" s="2456"/>
      <c r="P14" s="2456"/>
      <c r="Q14" s="2456"/>
      <c r="R14" s="2454"/>
      <c r="S14" s="2456"/>
      <c r="T14" s="1213"/>
      <c r="U14" s="1213"/>
      <c r="V14" s="1213"/>
      <c r="W14" s="1214"/>
      <c r="Y14" s="1175"/>
      <c r="Z14" s="1175"/>
      <c r="AA14" s="1175"/>
      <c r="AB14" s="1175"/>
      <c r="AC14" s="1175"/>
      <c r="AD14" s="1175"/>
      <c r="AE14" s="1175"/>
      <c r="AF14" s="1175"/>
      <c r="AG14" s="1175"/>
      <c r="AH14" s="1175"/>
      <c r="AI14" s="1175"/>
      <c r="AJ14" s="1175"/>
      <c r="AK14" s="1175"/>
      <c r="AL14" s="1175"/>
      <c r="AM14" s="1175"/>
      <c r="AN14" s="1175"/>
      <c r="AO14" s="1175"/>
      <c r="AP14" s="1175"/>
      <c r="AQ14" s="1175"/>
      <c r="AR14" s="686">
        <v>0</v>
      </c>
    </row>
    <row r="15" spans="1:44" s="2380" customFormat="1" ht="17.25" hidden="1" customHeight="1">
      <c r="A15" s="258"/>
      <c r="C15" s="146"/>
      <c r="D15" s="2468"/>
      <c r="E15" s="2457"/>
      <c r="F15" s="2471"/>
      <c r="G15" s="2457"/>
      <c r="H15" s="2460"/>
      <c r="I15" s="2462"/>
      <c r="J15" s="2465"/>
      <c r="K15" s="2456"/>
      <c r="L15" s="2456"/>
      <c r="M15" s="2456"/>
      <c r="N15" s="2454"/>
      <c r="O15" s="2456"/>
      <c r="P15" s="1334"/>
      <c r="Q15" s="1213"/>
      <c r="R15" s="1213"/>
      <c r="S15" s="266"/>
      <c r="T15" s="266"/>
      <c r="U15" s="266"/>
      <c r="V15" s="266"/>
      <c r="W15" s="1214"/>
      <c r="Y15" s="1183"/>
      <c r="Z15" s="1183"/>
      <c r="AA15" s="1183"/>
      <c r="AB15" s="1183"/>
      <c r="AC15" s="1183"/>
      <c r="AD15" s="1183"/>
      <c r="AE15" s="1183"/>
      <c r="AF15" s="1183"/>
      <c r="AG15" s="1183"/>
      <c r="AH15" s="1183"/>
      <c r="AI15" s="1183"/>
      <c r="AJ15" s="1183"/>
      <c r="AK15" s="1183"/>
      <c r="AL15" s="1183"/>
      <c r="AM15" s="1183"/>
      <c r="AN15" s="1183"/>
      <c r="AO15" s="1183"/>
      <c r="AP15" s="1183"/>
      <c r="AQ15" s="1183"/>
      <c r="AR15" s="1333">
        <v>0</v>
      </c>
    </row>
    <row r="16" spans="1:44" s="2380" customFormat="1" ht="17.25" hidden="1" customHeight="1">
      <c r="A16" s="258"/>
      <c r="C16" s="257"/>
      <c r="D16" s="2468"/>
      <c r="E16" s="2457"/>
      <c r="F16" s="2471"/>
      <c r="G16" s="2457"/>
      <c r="H16" s="2460"/>
      <c r="I16" s="2462"/>
      <c r="J16" s="2465"/>
      <c r="K16" s="2456"/>
      <c r="L16" s="1213"/>
      <c r="M16" s="1213"/>
      <c r="N16" s="1213"/>
      <c r="O16" s="1213"/>
      <c r="P16" s="1213"/>
      <c r="Q16" s="1213"/>
      <c r="R16" s="1213"/>
      <c r="S16" s="266"/>
      <c r="T16" s="266"/>
      <c r="U16" s="266"/>
      <c r="V16" s="266"/>
      <c r="W16" s="1214"/>
      <c r="Y16" s="1175"/>
      <c r="Z16" s="1175"/>
      <c r="AA16" s="1175"/>
      <c r="AB16" s="1175"/>
      <c r="AC16" s="1175"/>
      <c r="AD16" s="1175"/>
      <c r="AE16" s="1175"/>
      <c r="AF16" s="1175"/>
      <c r="AG16" s="1175"/>
      <c r="AH16" s="1175"/>
      <c r="AI16" s="1175"/>
      <c r="AJ16" s="1175"/>
      <c r="AK16" s="1175"/>
      <c r="AL16" s="1175"/>
      <c r="AM16" s="1175"/>
      <c r="AN16" s="1175"/>
      <c r="AO16" s="1175"/>
      <c r="AP16" s="1175"/>
      <c r="AQ16" s="1175"/>
      <c r="AR16" s="1333">
        <v>0</v>
      </c>
    </row>
    <row r="17" spans="1:44" s="2380" customFormat="1" ht="17.25" hidden="1" customHeight="1">
      <c r="A17" s="258"/>
      <c r="C17" s="257"/>
      <c r="D17" s="2469"/>
      <c r="E17" s="2458"/>
      <c r="F17" s="2472"/>
      <c r="G17" s="2458"/>
      <c r="H17" s="1215"/>
      <c r="I17" s="1216"/>
      <c r="J17" s="1216"/>
      <c r="K17" s="1216"/>
      <c r="L17" s="1216"/>
      <c r="M17" s="1216"/>
      <c r="N17" s="1216"/>
      <c r="O17" s="1216"/>
      <c r="P17" s="1216"/>
      <c r="Q17" s="1216"/>
      <c r="R17" s="1216"/>
      <c r="S17" s="1217"/>
      <c r="T17" s="1217"/>
      <c r="U17" s="1217"/>
      <c r="V17" s="1217"/>
      <c r="W17" s="1218"/>
      <c r="Y17" s="1175"/>
      <c r="Z17" s="1175"/>
      <c r="AA17" s="1175"/>
      <c r="AB17" s="1175"/>
      <c r="AC17" s="1175"/>
      <c r="AD17" s="1175"/>
      <c r="AE17" s="1175"/>
      <c r="AF17" s="1175"/>
      <c r="AG17" s="1175"/>
      <c r="AH17" s="1175"/>
      <c r="AI17" s="1175"/>
      <c r="AJ17" s="1175"/>
      <c r="AK17" s="1175"/>
      <c r="AL17" s="1175"/>
      <c r="AM17" s="1175"/>
      <c r="AN17" s="1175"/>
      <c r="AO17" s="1175"/>
      <c r="AP17" s="1175"/>
      <c r="AQ17" s="1175"/>
      <c r="AR17" s="686">
        <v>0</v>
      </c>
    </row>
    <row r="18" spans="1:44" s="2380" customFormat="1" ht="17.25" hidden="1" customHeight="1">
      <c r="A18" s="258"/>
      <c r="C18" s="146"/>
      <c r="D18" s="2468">
        <v>2</v>
      </c>
      <c r="E18" s="2482"/>
      <c r="F18" s="2470" t="s">
        <v>19</v>
      </c>
      <c r="G18" s="2457"/>
      <c r="H18" s="2459"/>
      <c r="I18" s="2461"/>
      <c r="J18" s="2463"/>
      <c r="K18" s="2455"/>
      <c r="L18" s="2455"/>
      <c r="M18" s="2455"/>
      <c r="N18" s="2466"/>
      <c r="O18" s="2455"/>
      <c r="P18" s="2455"/>
      <c r="Q18" s="2455"/>
      <c r="R18" s="2453"/>
      <c r="S18" s="2455"/>
      <c r="T18" s="1336"/>
      <c r="U18" s="1336"/>
      <c r="V18" s="1335"/>
      <c r="W18" s="1212"/>
      <c r="X18" s="1183"/>
      <c r="Y18" s="1183"/>
      <c r="Z18" s="1183"/>
      <c r="AA18" s="1183"/>
      <c r="AB18" s="1183"/>
      <c r="AC18" s="1183" t="s">
        <v>161</v>
      </c>
      <c r="AD18" s="1183" t="s">
        <v>162</v>
      </c>
      <c r="AE18" s="1183" t="s">
        <v>163</v>
      </c>
      <c r="AF18" s="1183" t="s">
        <v>164</v>
      </c>
      <c r="AG18" s="1183" t="s">
        <v>165</v>
      </c>
      <c r="AH18" s="1183" t="str">
        <f>IF($E$18=0,"",$E$18)</f>
        <v/>
      </c>
      <c r="AI18" s="1183" t="str">
        <f>IF($G$18=0,"",$G$18)</f>
        <v/>
      </c>
      <c r="AJ18" s="1183" t="str">
        <f>IF($J$18=0,"",$J$18)</f>
        <v/>
      </c>
      <c r="AK18" s="1183" t="str">
        <f>IF($K$18="нет","без дифференциации",IF($N$18=0,"",$N$18))</f>
        <v/>
      </c>
      <c r="AL18" s="1183" t="str">
        <f>IF($O$18="нет","без дифференциации",IF($R$18=0,"",$R$18))</f>
        <v/>
      </c>
      <c r="AM18" s="1183" t="str">
        <f>IF($S$18="нет","без дифференциации",IF($V$18=0,"",$V$18))</f>
        <v/>
      </c>
      <c r="AN18" s="1687">
        <f>$I$18</f>
        <v>0</v>
      </c>
      <c r="AO18" s="1183" t="str">
        <f>$I$18&amp;"."&amp;$M$18</f>
        <v>.</v>
      </c>
      <c r="AP18" s="1175" t="str">
        <f>$I$18&amp;"."&amp;$M$18&amp;"."&amp;$Q$18</f>
        <v>..</v>
      </c>
      <c r="AQ18" s="1175" t="str">
        <f>$I$18&amp;"."&amp;$M$18&amp;"."&amp;$Q$18&amp;"."&amp;$U$18</f>
        <v>...</v>
      </c>
      <c r="AR18" s="1199">
        <v>0</v>
      </c>
    </row>
    <row r="19" spans="1:44" s="2380" customFormat="1" ht="17.25" hidden="1" customHeight="1">
      <c r="A19" s="258"/>
      <c r="C19" s="257"/>
      <c r="D19" s="2468"/>
      <c r="E19" s="2482"/>
      <c r="F19" s="2471"/>
      <c r="G19" s="2457"/>
      <c r="H19" s="2460"/>
      <c r="I19" s="2462"/>
      <c r="J19" s="2464"/>
      <c r="K19" s="2456"/>
      <c r="L19" s="2456"/>
      <c r="M19" s="2456"/>
      <c r="N19" s="2467"/>
      <c r="O19" s="2456"/>
      <c r="P19" s="2456"/>
      <c r="Q19" s="2456"/>
      <c r="R19" s="2454"/>
      <c r="S19" s="2456"/>
      <c r="T19" s="1213"/>
      <c r="U19" s="1213"/>
      <c r="V19" s="1213"/>
      <c r="W19" s="1214"/>
      <c r="X19" s="1175"/>
      <c r="Y19" s="1175"/>
      <c r="Z19" s="1175"/>
      <c r="AA19" s="1175"/>
      <c r="AB19" s="1175"/>
      <c r="AC19" s="1175"/>
      <c r="AD19" s="1175"/>
      <c r="AE19" s="1175"/>
      <c r="AF19" s="1175"/>
      <c r="AG19" s="1175"/>
      <c r="AH19" s="1175"/>
      <c r="AI19" s="1175"/>
      <c r="AJ19" s="1175"/>
      <c r="AK19" s="1175"/>
      <c r="AL19" s="1175"/>
      <c r="AM19" s="1175"/>
      <c r="AN19" s="1175"/>
      <c r="AO19" s="1175"/>
      <c r="AP19" s="1175"/>
      <c r="AQ19" s="1175"/>
      <c r="AR19" s="1199">
        <v>0</v>
      </c>
    </row>
    <row r="20" spans="1:44" s="2380" customFormat="1" ht="17.25" hidden="1" customHeight="1">
      <c r="A20" s="258"/>
      <c r="C20" s="257"/>
      <c r="D20" s="2469"/>
      <c r="E20" s="2483"/>
      <c r="F20" s="2471"/>
      <c r="G20" s="2458"/>
      <c r="H20" s="2460"/>
      <c r="I20" s="2462"/>
      <c r="J20" s="2465"/>
      <c r="K20" s="2456"/>
      <c r="L20" s="2456"/>
      <c r="M20" s="2456"/>
      <c r="N20" s="2454"/>
      <c r="O20" s="2456"/>
      <c r="P20" s="1334"/>
      <c r="Q20" s="1213"/>
      <c r="R20" s="1213"/>
      <c r="S20" s="266"/>
      <c r="T20" s="266"/>
      <c r="U20" s="266"/>
      <c r="V20" s="266"/>
      <c r="W20" s="1214"/>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199">
        <v>0</v>
      </c>
    </row>
    <row r="21" spans="1:44" s="2380" customFormat="1" ht="17.25" hidden="1" customHeight="1">
      <c r="A21" s="258"/>
      <c r="C21" s="257"/>
      <c r="D21" s="2469"/>
      <c r="E21" s="2483"/>
      <c r="F21" s="2471"/>
      <c r="G21" s="2458"/>
      <c r="H21" s="2460"/>
      <c r="I21" s="2462"/>
      <c r="J21" s="2465"/>
      <c r="K21" s="2456"/>
      <c r="L21" s="1213"/>
      <c r="M21" s="1213"/>
      <c r="N21" s="1213"/>
      <c r="O21" s="1213"/>
      <c r="P21" s="1213"/>
      <c r="Q21" s="1213"/>
      <c r="R21" s="1213"/>
      <c r="S21" s="266"/>
      <c r="T21" s="266"/>
      <c r="U21" s="266"/>
      <c r="V21" s="266"/>
      <c r="W21" s="1214"/>
      <c r="X21" s="1175"/>
      <c r="Y21" s="1175"/>
      <c r="Z21" s="1175"/>
      <c r="AA21" s="1175"/>
      <c r="AB21" s="1175"/>
      <c r="AC21" s="1175"/>
      <c r="AD21" s="1175"/>
      <c r="AE21" s="1175"/>
      <c r="AF21" s="1175"/>
      <c r="AG21" s="1175"/>
      <c r="AH21" s="1175"/>
      <c r="AI21" s="1175"/>
      <c r="AJ21" s="1175"/>
      <c r="AK21" s="1175"/>
      <c r="AL21" s="1175"/>
      <c r="AM21" s="1175"/>
      <c r="AN21" s="1175"/>
      <c r="AO21" s="1175"/>
      <c r="AP21" s="1175"/>
      <c r="AQ21" s="1175"/>
      <c r="AR21" s="1199">
        <v>0</v>
      </c>
    </row>
    <row r="22" spans="1:44" s="2380" customFormat="1" ht="17.25" hidden="1" customHeight="1">
      <c r="A22" s="258"/>
      <c r="C22" s="257"/>
      <c r="D22" s="2469"/>
      <c r="E22" s="2483"/>
      <c r="F22" s="2472"/>
      <c r="G22" s="2458"/>
      <c r="H22" s="1215"/>
      <c r="I22" s="1216"/>
      <c r="J22" s="1216"/>
      <c r="K22" s="1216"/>
      <c r="L22" s="1216"/>
      <c r="M22" s="1216"/>
      <c r="N22" s="1216"/>
      <c r="O22" s="1216"/>
      <c r="P22" s="1216"/>
      <c r="Q22" s="1216"/>
      <c r="R22" s="1216"/>
      <c r="S22" s="1217"/>
      <c r="T22" s="1217"/>
      <c r="U22" s="1217"/>
      <c r="V22" s="1217"/>
      <c r="W22" s="1218"/>
      <c r="X22" s="1175"/>
      <c r="Y22" s="1175"/>
      <c r="Z22" s="1175"/>
      <c r="AA22" s="1175"/>
      <c r="AB22" s="1175"/>
      <c r="AC22" s="1175"/>
      <c r="AD22" s="1175"/>
      <c r="AE22" s="1175"/>
      <c r="AF22" s="1175"/>
      <c r="AG22" s="1175"/>
      <c r="AH22" s="1175"/>
      <c r="AI22" s="1175"/>
      <c r="AJ22" s="1175"/>
      <c r="AK22" s="1175"/>
      <c r="AL22" s="1175"/>
      <c r="AM22" s="1175"/>
      <c r="AN22" s="1175"/>
      <c r="AO22" s="1175"/>
      <c r="AP22" s="1175"/>
      <c r="AQ22" s="1175"/>
      <c r="AR22" s="1199">
        <v>0</v>
      </c>
    </row>
    <row r="23" spans="1:44" s="2380" customFormat="1" ht="17.25" hidden="1" customHeight="1">
      <c r="A23" s="258"/>
      <c r="C23" s="146"/>
      <c r="D23" s="2468">
        <v>2</v>
      </c>
      <c r="E23" s="2457" t="s">
        <v>166</v>
      </c>
      <c r="F23" s="2470" t="s">
        <v>19</v>
      </c>
      <c r="G23" s="2457"/>
      <c r="H23" s="2459"/>
      <c r="I23" s="2461"/>
      <c r="J23" s="2463"/>
      <c r="K23" s="2455"/>
      <c r="L23" s="2455"/>
      <c r="M23" s="2455"/>
      <c r="N23" s="2466"/>
      <c r="O23" s="2455"/>
      <c r="P23" s="2455"/>
      <c r="Q23" s="2455"/>
      <c r="R23" s="2453"/>
      <c r="S23" s="2455"/>
      <c r="T23" s="1907"/>
      <c r="U23" s="1907"/>
      <c r="V23" s="1909"/>
      <c r="W23" s="1212"/>
      <c r="X23" s="1183"/>
      <c r="Y23" s="1183"/>
      <c r="Z23" s="1183"/>
      <c r="AA23" s="1183"/>
      <c r="AB23" s="1183"/>
      <c r="AC23" s="1183" t="s">
        <v>161</v>
      </c>
      <c r="AD23" s="1183" t="s">
        <v>162</v>
      </c>
      <c r="AE23" s="1183" t="s">
        <v>163</v>
      </c>
      <c r="AF23" s="1183" t="s">
        <v>164</v>
      </c>
      <c r="AG23" s="1183" t="s">
        <v>165</v>
      </c>
      <c r="AH23" s="118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3" t="str">
        <f>IF($G$23=0,"",$G$23)</f>
        <v/>
      </c>
      <c r="AJ23" s="1183" t="str">
        <f>IF($J$23=0,"",$J$23)</f>
        <v/>
      </c>
      <c r="AK23" s="1183" t="str">
        <f>IF($K$23="нет","без дифференциации",IF($N$23=0,"",$N$23))</f>
        <v/>
      </c>
      <c r="AL23" s="1183" t="str">
        <f>IF($O$23="нет","без дифференциации",IF($R$23=0,"",$R$23))</f>
        <v/>
      </c>
      <c r="AM23" s="1183" t="str">
        <f>IF($S$23="нет","без дифференциации",IF($V$23=0,"",$V$23))</f>
        <v/>
      </c>
      <c r="AN23" s="1687">
        <f>$I$23</f>
        <v>0</v>
      </c>
      <c r="AO23" s="1183" t="str">
        <f>$I$23&amp;"."&amp;$M$23</f>
        <v>.</v>
      </c>
      <c r="AP23" s="1182" t="str">
        <f>$I$23&amp;"."&amp;$M$23&amp;"."&amp;$Q$23</f>
        <v>..</v>
      </c>
      <c r="AQ23" s="1182" t="str">
        <f>$I$23&amp;"."&amp;$M$23&amp;"."&amp;$Q$23&amp;"."&amp;$U$23</f>
        <v>...</v>
      </c>
      <c r="AR23" s="1383">
        <v>0</v>
      </c>
    </row>
    <row r="24" spans="1:44" s="2380" customFormat="1" ht="17.25" hidden="1" customHeight="1">
      <c r="A24" s="258"/>
      <c r="C24" s="257"/>
      <c r="D24" s="2468"/>
      <c r="E24" s="2457"/>
      <c r="F24" s="2471"/>
      <c r="G24" s="2457"/>
      <c r="H24" s="2460"/>
      <c r="I24" s="2462"/>
      <c r="J24" s="2464"/>
      <c r="K24" s="2456"/>
      <c r="L24" s="2456"/>
      <c r="M24" s="2456"/>
      <c r="N24" s="2467"/>
      <c r="O24" s="2456"/>
      <c r="P24" s="2456"/>
      <c r="Q24" s="2456"/>
      <c r="R24" s="2454"/>
      <c r="S24" s="2456"/>
      <c r="T24" s="1912"/>
      <c r="U24" s="1912"/>
      <c r="V24" s="1912"/>
      <c r="W24" s="1913"/>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383">
        <v>0</v>
      </c>
    </row>
    <row r="25" spans="1:44" s="2380" customFormat="1" ht="17.25" hidden="1" customHeight="1">
      <c r="A25" s="258"/>
      <c r="C25" s="257"/>
      <c r="D25" s="2469"/>
      <c r="E25" s="2458"/>
      <c r="F25" s="2471"/>
      <c r="G25" s="2458"/>
      <c r="H25" s="2460"/>
      <c r="I25" s="2462"/>
      <c r="J25" s="2465"/>
      <c r="K25" s="2456"/>
      <c r="L25" s="2456"/>
      <c r="M25" s="2456"/>
      <c r="N25" s="2454"/>
      <c r="O25" s="2456"/>
      <c r="P25" s="1908"/>
      <c r="Q25" s="1912"/>
      <c r="R25" s="1912"/>
      <c r="S25" s="266"/>
      <c r="T25" s="266"/>
      <c r="U25" s="266"/>
      <c r="V25" s="266"/>
      <c r="W25" s="1913"/>
      <c r="X25" s="1182"/>
      <c r="Y25" s="1182"/>
      <c r="Z25" s="1182"/>
      <c r="AA25" s="1182"/>
      <c r="AB25" s="1182"/>
      <c r="AC25" s="1182"/>
      <c r="AD25" s="1182"/>
      <c r="AE25" s="1182"/>
      <c r="AF25" s="1182"/>
      <c r="AG25" s="1182"/>
      <c r="AH25" s="1182"/>
      <c r="AI25" s="1182"/>
      <c r="AJ25" s="1182"/>
      <c r="AK25" s="1182"/>
      <c r="AL25" s="1182"/>
      <c r="AM25" s="1182"/>
      <c r="AN25" s="1182"/>
      <c r="AO25" s="1182"/>
      <c r="AP25" s="1182"/>
      <c r="AQ25" s="1182"/>
      <c r="AR25" s="1383">
        <v>0</v>
      </c>
    </row>
    <row r="26" spans="1:44" s="2380" customFormat="1" ht="17.25" hidden="1" customHeight="1">
      <c r="A26" s="258"/>
      <c r="C26" s="257"/>
      <c r="D26" s="2469"/>
      <c r="E26" s="2458"/>
      <c r="F26" s="2471"/>
      <c r="G26" s="2458"/>
      <c r="H26" s="2460"/>
      <c r="I26" s="2462"/>
      <c r="J26" s="2465"/>
      <c r="K26" s="2456"/>
      <c r="L26" s="1912"/>
      <c r="M26" s="1912"/>
      <c r="N26" s="1912"/>
      <c r="O26" s="1912"/>
      <c r="P26" s="1912"/>
      <c r="Q26" s="1912"/>
      <c r="R26" s="1912"/>
      <c r="S26" s="266"/>
      <c r="T26" s="266"/>
      <c r="U26" s="266"/>
      <c r="V26" s="266"/>
      <c r="W26" s="1913"/>
      <c r="X26" s="1182"/>
      <c r="Y26" s="1182"/>
      <c r="Z26" s="1182"/>
      <c r="AA26" s="1182"/>
      <c r="AB26" s="1182"/>
      <c r="AC26" s="1182"/>
      <c r="AD26" s="1182"/>
      <c r="AE26" s="1182"/>
      <c r="AF26" s="1182"/>
      <c r="AG26" s="1182"/>
      <c r="AH26" s="1182"/>
      <c r="AI26" s="1182"/>
      <c r="AJ26" s="1182"/>
      <c r="AK26" s="1182"/>
      <c r="AL26" s="1182"/>
      <c r="AM26" s="1182"/>
      <c r="AN26" s="1182"/>
      <c r="AO26" s="1182"/>
      <c r="AP26" s="1182"/>
      <c r="AQ26" s="1182"/>
      <c r="AR26" s="1383">
        <v>0</v>
      </c>
    </row>
    <row r="27" spans="1:44" s="2380" customFormat="1" ht="17.25" hidden="1" customHeight="1">
      <c r="A27" s="258"/>
      <c r="C27" s="257"/>
      <c r="D27" s="2469"/>
      <c r="E27" s="2458"/>
      <c r="F27" s="2472"/>
      <c r="G27" s="2458"/>
      <c r="H27" s="1215"/>
      <c r="I27" s="1910"/>
      <c r="J27" s="1910"/>
      <c r="K27" s="1910"/>
      <c r="L27" s="1910"/>
      <c r="M27" s="1910"/>
      <c r="N27" s="1910"/>
      <c r="O27" s="1910"/>
      <c r="P27" s="1910"/>
      <c r="Q27" s="1910"/>
      <c r="R27" s="1910"/>
      <c r="S27" s="1217"/>
      <c r="T27" s="1217"/>
      <c r="U27" s="1217"/>
      <c r="V27" s="1217"/>
      <c r="W27" s="1911"/>
      <c r="X27" s="1182"/>
      <c r="Y27" s="1182"/>
      <c r="Z27" s="1182"/>
      <c r="AA27" s="1182"/>
      <c r="AB27" s="1182"/>
      <c r="AC27" s="1182"/>
      <c r="AD27" s="1182"/>
      <c r="AE27" s="1182"/>
      <c r="AF27" s="1182"/>
      <c r="AG27" s="1182"/>
      <c r="AH27" s="1182"/>
      <c r="AI27" s="1182"/>
      <c r="AJ27" s="1182"/>
      <c r="AK27" s="1182"/>
      <c r="AL27" s="1182"/>
      <c r="AM27" s="1182"/>
      <c r="AN27" s="1182"/>
      <c r="AO27" s="1182"/>
      <c r="AP27" s="1182"/>
      <c r="AQ27" s="1182"/>
      <c r="AR27" s="1383">
        <v>0</v>
      </c>
    </row>
    <row r="28" spans="1:44" s="2380" customFormat="1" ht="17.25" hidden="1" customHeight="1">
      <c r="A28" s="258"/>
      <c r="C28" s="146"/>
      <c r="D28" s="2468">
        <v>3</v>
      </c>
      <c r="E28" s="2457" t="s">
        <v>167</v>
      </c>
      <c r="F28" s="2470" t="s">
        <v>19</v>
      </c>
      <c r="G28" s="2457"/>
      <c r="H28" s="2459"/>
      <c r="I28" s="2461"/>
      <c r="J28" s="2463"/>
      <c r="K28" s="2455"/>
      <c r="L28" s="2455"/>
      <c r="M28" s="2455"/>
      <c r="N28" s="2466"/>
      <c r="O28" s="2455"/>
      <c r="P28" s="2455"/>
      <c r="Q28" s="2455"/>
      <c r="R28" s="2453"/>
      <c r="S28" s="2455"/>
      <c r="T28" s="1336"/>
      <c r="U28" s="1336"/>
      <c r="V28" s="1335"/>
      <c r="W28" s="1212"/>
      <c r="X28" s="1183"/>
      <c r="Y28" s="1183"/>
      <c r="Z28" s="1183"/>
      <c r="AA28" s="1183"/>
      <c r="AB28" s="1183"/>
      <c r="AC28" s="1183" t="s">
        <v>168</v>
      </c>
      <c r="AD28" s="1183" t="s">
        <v>169</v>
      </c>
      <c r="AE28" s="1183" t="s">
        <v>170</v>
      </c>
      <c r="AF28" s="1183" t="s">
        <v>171</v>
      </c>
      <c r="AG28" s="1183" t="s">
        <v>172</v>
      </c>
      <c r="AH28" s="1183" t="str">
        <f>IF($E$28=0,"",$E$28)</f>
        <v>Тарифы на теплоноситель, поставляемый теплоснабжающими организациями потребителям, другим теплоснабжающим организациям</v>
      </c>
      <c r="AI28" s="1183" t="str">
        <f>IF($G$28=0,"",$G$28)</f>
        <v/>
      </c>
      <c r="AJ28" s="1183" t="str">
        <f>IF($J$28=0,"",$J$28)</f>
        <v/>
      </c>
      <c r="AK28" s="1183" t="str">
        <f>IF($K$28="нет","без дифференциации",IF($N$28=0,"",$N$28))</f>
        <v/>
      </c>
      <c r="AL28" s="1183" t="str">
        <f>IF($O$28="нет","без дифференциации",IF($R$28=0,"",$R$28))</f>
        <v/>
      </c>
      <c r="AM28" s="1183" t="str">
        <f>IF($S$28="нет","без дифференциации",IF($V$28=0,"",$V$28))</f>
        <v/>
      </c>
      <c r="AN28" s="1687">
        <f>$I$28</f>
        <v>0</v>
      </c>
      <c r="AO28" s="1183" t="str">
        <f>$I$28&amp;"."&amp;$M$28</f>
        <v>.</v>
      </c>
      <c r="AP28" s="1175" t="str">
        <f>$I$28&amp;"."&amp;$M$28&amp;"."&amp;$Q$28</f>
        <v>..</v>
      </c>
      <c r="AQ28" s="1175" t="str">
        <f>$I$28&amp;"."&amp;$M$28&amp;"."&amp;$Q$28&amp;"."&amp;$U$28</f>
        <v>...</v>
      </c>
      <c r="AR28" s="1199">
        <v>0</v>
      </c>
    </row>
    <row r="29" spans="1:44" s="2380" customFormat="1" ht="17.25" hidden="1" customHeight="1">
      <c r="A29" s="258"/>
      <c r="C29" s="257"/>
      <c r="D29" s="2468"/>
      <c r="E29" s="2457"/>
      <c r="F29" s="2471"/>
      <c r="G29" s="2457"/>
      <c r="H29" s="2460"/>
      <c r="I29" s="2462"/>
      <c r="J29" s="2464"/>
      <c r="K29" s="2456"/>
      <c r="L29" s="2456"/>
      <c r="M29" s="2456"/>
      <c r="N29" s="2467"/>
      <c r="O29" s="2456"/>
      <c r="P29" s="2456"/>
      <c r="Q29" s="2456"/>
      <c r="R29" s="2454"/>
      <c r="S29" s="2456"/>
      <c r="T29" s="1213"/>
      <c r="U29" s="1213"/>
      <c r="V29" s="1213"/>
      <c r="W29" s="1214"/>
      <c r="X29" s="1175"/>
      <c r="Y29" s="1175"/>
      <c r="Z29" s="1175"/>
      <c r="AA29" s="1175"/>
      <c r="AB29" s="1175"/>
      <c r="AC29" s="1175"/>
      <c r="AD29" s="1175"/>
      <c r="AE29" s="1175"/>
      <c r="AF29" s="1175"/>
      <c r="AG29" s="1175"/>
      <c r="AH29" s="1175"/>
      <c r="AI29" s="1175"/>
      <c r="AJ29" s="1175"/>
      <c r="AK29" s="1175"/>
      <c r="AL29" s="1175"/>
      <c r="AM29" s="1175"/>
      <c r="AN29" s="1175"/>
      <c r="AO29" s="1175"/>
      <c r="AP29" s="1175"/>
      <c r="AQ29" s="1175"/>
      <c r="AR29" s="1199">
        <v>0</v>
      </c>
    </row>
    <row r="30" spans="1:44" s="2380" customFormat="1" ht="17.25" hidden="1" customHeight="1">
      <c r="A30" s="258"/>
      <c r="C30" s="257"/>
      <c r="D30" s="2469"/>
      <c r="E30" s="2458"/>
      <c r="F30" s="2471"/>
      <c r="G30" s="2458"/>
      <c r="H30" s="2460"/>
      <c r="I30" s="2462"/>
      <c r="J30" s="2465"/>
      <c r="K30" s="2456"/>
      <c r="L30" s="2456"/>
      <c r="M30" s="2456"/>
      <c r="N30" s="2454"/>
      <c r="O30" s="2456"/>
      <c r="P30" s="1334"/>
      <c r="Q30" s="1213"/>
      <c r="R30" s="1213"/>
      <c r="S30" s="266"/>
      <c r="T30" s="266"/>
      <c r="U30" s="266"/>
      <c r="V30" s="266"/>
      <c r="W30" s="1214"/>
      <c r="X30" s="1175"/>
      <c r="Y30" s="1175"/>
      <c r="Z30" s="1175"/>
      <c r="AA30" s="1175"/>
      <c r="AB30" s="1175"/>
      <c r="AC30" s="1175"/>
      <c r="AD30" s="1175"/>
      <c r="AE30" s="1175"/>
      <c r="AF30" s="1175"/>
      <c r="AG30" s="1175"/>
      <c r="AH30" s="1175"/>
      <c r="AI30" s="1175"/>
      <c r="AJ30" s="1175"/>
      <c r="AK30" s="1175"/>
      <c r="AL30" s="1175"/>
      <c r="AM30" s="1175"/>
      <c r="AN30" s="1175"/>
      <c r="AO30" s="1175"/>
      <c r="AP30" s="1175"/>
      <c r="AQ30" s="1175"/>
      <c r="AR30" s="1199">
        <v>0</v>
      </c>
    </row>
    <row r="31" spans="1:44" s="2380" customFormat="1" ht="17.25" hidden="1" customHeight="1">
      <c r="A31" s="258"/>
      <c r="C31" s="257"/>
      <c r="D31" s="2469"/>
      <c r="E31" s="2458"/>
      <c r="F31" s="2471"/>
      <c r="G31" s="2458"/>
      <c r="H31" s="2460"/>
      <c r="I31" s="2462"/>
      <c r="J31" s="2465"/>
      <c r="K31" s="2456"/>
      <c r="L31" s="1213"/>
      <c r="M31" s="1213"/>
      <c r="N31" s="1213"/>
      <c r="O31" s="1213"/>
      <c r="P31" s="1213"/>
      <c r="Q31" s="1213"/>
      <c r="R31" s="1213"/>
      <c r="S31" s="266"/>
      <c r="T31" s="266"/>
      <c r="U31" s="266"/>
      <c r="V31" s="266"/>
      <c r="W31" s="1214"/>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99">
        <v>0</v>
      </c>
    </row>
    <row r="32" spans="1:44" s="2380" customFormat="1" ht="17.25" hidden="1" customHeight="1">
      <c r="A32" s="258"/>
      <c r="C32" s="257"/>
      <c r="D32" s="2469"/>
      <c r="E32" s="2458"/>
      <c r="F32" s="2472"/>
      <c r="G32" s="2458"/>
      <c r="H32" s="1215"/>
      <c r="I32" s="1216"/>
      <c r="J32" s="1216"/>
      <c r="K32" s="1216"/>
      <c r="L32" s="1216"/>
      <c r="M32" s="1216"/>
      <c r="N32" s="1216"/>
      <c r="O32" s="1216"/>
      <c r="P32" s="1216"/>
      <c r="Q32" s="1216"/>
      <c r="R32" s="1216"/>
      <c r="S32" s="1217"/>
      <c r="T32" s="1217"/>
      <c r="U32" s="1217"/>
      <c r="V32" s="1217"/>
      <c r="W32" s="1218"/>
      <c r="X32" s="1175"/>
      <c r="Y32" s="1175"/>
      <c r="Z32" s="1175"/>
      <c r="AA32" s="1175"/>
      <c r="AB32" s="1175"/>
      <c r="AC32" s="1175"/>
      <c r="AD32" s="1175"/>
      <c r="AE32" s="1175"/>
      <c r="AF32" s="1175"/>
      <c r="AG32" s="1175"/>
      <c r="AH32" s="1175"/>
      <c r="AI32" s="1175"/>
      <c r="AJ32" s="1175"/>
      <c r="AK32" s="1175"/>
      <c r="AL32" s="1175"/>
      <c r="AM32" s="1175"/>
      <c r="AN32" s="1175"/>
      <c r="AO32" s="1175"/>
      <c r="AP32" s="1175"/>
      <c r="AQ32" s="1175"/>
      <c r="AR32" s="1199">
        <v>0</v>
      </c>
    </row>
    <row r="33" spans="1:44" s="2380" customFormat="1" ht="17.25" hidden="1" customHeight="1">
      <c r="A33" s="258"/>
      <c r="C33" s="146"/>
      <c r="D33" s="2468">
        <v>4</v>
      </c>
      <c r="E33" s="2457" t="s">
        <v>173</v>
      </c>
      <c r="F33" s="2470" t="s">
        <v>19</v>
      </c>
      <c r="G33" s="2457"/>
      <c r="H33" s="2459"/>
      <c r="I33" s="2461"/>
      <c r="J33" s="2463"/>
      <c r="K33" s="2455"/>
      <c r="L33" s="2455"/>
      <c r="M33" s="2455"/>
      <c r="N33" s="2466"/>
      <c r="O33" s="2455"/>
      <c r="P33" s="2455"/>
      <c r="Q33" s="2455"/>
      <c r="R33" s="2453"/>
      <c r="S33" s="2455"/>
      <c r="T33" s="1336"/>
      <c r="U33" s="1336"/>
      <c r="V33" s="1335"/>
      <c r="W33" s="1212"/>
      <c r="X33" s="1183"/>
      <c r="Y33" s="1183"/>
      <c r="Z33" s="1183"/>
      <c r="AA33" s="1183"/>
      <c r="AB33" s="1183"/>
      <c r="AC33" s="1183" t="s">
        <v>174</v>
      </c>
      <c r="AD33" s="1183" t="s">
        <v>175</v>
      </c>
      <c r="AE33" s="1183" t="s">
        <v>176</v>
      </c>
      <c r="AF33" s="1183" t="s">
        <v>177</v>
      </c>
      <c r="AG33" s="1183" t="s">
        <v>178</v>
      </c>
      <c r="AH33" s="118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3" t="str">
        <f>IF($G$33=0,"",$G$33)</f>
        <v/>
      </c>
      <c r="AJ33" s="1183" t="str">
        <f>IF($J$33=0,"",$J$33)</f>
        <v/>
      </c>
      <c r="AK33" s="1183" t="str">
        <f>IF($K$33="нет","без дифференциации",IF($N$33=0,"",$N$33))</f>
        <v/>
      </c>
      <c r="AL33" s="1183" t="str">
        <f>IF($O$33="нет","без дифференциации",IF($R$33=0,"",$R$33))</f>
        <v/>
      </c>
      <c r="AM33" s="1183" t="str">
        <f>IF($S$33="нет","без дифференциации",IF($V$33=0,"",$V$33))</f>
        <v/>
      </c>
      <c r="AN33" s="1687">
        <f>$I$33</f>
        <v>0</v>
      </c>
      <c r="AO33" s="1183" t="str">
        <f>$I$33&amp;"."&amp;$M$33</f>
        <v>.</v>
      </c>
      <c r="AP33" s="1175" t="str">
        <f>$I$33&amp;"."&amp;$M$33&amp;"."&amp;$Q$33</f>
        <v>..</v>
      </c>
      <c r="AQ33" s="1175" t="str">
        <f>$I$33&amp;"."&amp;$M$33&amp;"."&amp;$Q$33&amp;"."&amp;$U$33</f>
        <v>...</v>
      </c>
      <c r="AR33" s="1199">
        <v>0</v>
      </c>
    </row>
    <row r="34" spans="1:44" s="2380" customFormat="1" ht="17.25" hidden="1" customHeight="1">
      <c r="A34" s="258"/>
      <c r="C34" s="257"/>
      <c r="D34" s="2468"/>
      <c r="E34" s="2457"/>
      <c r="F34" s="2471"/>
      <c r="G34" s="2457"/>
      <c r="H34" s="2460"/>
      <c r="I34" s="2462"/>
      <c r="J34" s="2464"/>
      <c r="K34" s="2456"/>
      <c r="L34" s="2456"/>
      <c r="M34" s="2456"/>
      <c r="N34" s="2467"/>
      <c r="O34" s="2456"/>
      <c r="P34" s="2456"/>
      <c r="Q34" s="2456"/>
      <c r="R34" s="2454"/>
      <c r="S34" s="2456"/>
      <c r="T34" s="1213"/>
      <c r="U34" s="1213"/>
      <c r="V34" s="1213"/>
      <c r="W34" s="1214"/>
      <c r="X34" s="1175"/>
      <c r="Y34" s="1175"/>
      <c r="Z34" s="1175"/>
      <c r="AA34" s="1175"/>
      <c r="AB34" s="1175"/>
      <c r="AC34" s="1175"/>
      <c r="AD34" s="1175"/>
      <c r="AE34" s="1175"/>
      <c r="AF34" s="1175"/>
      <c r="AG34" s="1175"/>
      <c r="AH34" s="1175"/>
      <c r="AI34" s="1175"/>
      <c r="AJ34" s="1175"/>
      <c r="AK34" s="1175"/>
      <c r="AL34" s="1175"/>
      <c r="AM34" s="1175"/>
      <c r="AN34" s="1175"/>
      <c r="AO34" s="1175"/>
      <c r="AP34" s="1175"/>
      <c r="AQ34" s="1175"/>
      <c r="AR34" s="1199">
        <v>0</v>
      </c>
    </row>
    <row r="35" spans="1:44" s="2380" customFormat="1" ht="17.25" hidden="1" customHeight="1">
      <c r="A35" s="258"/>
      <c r="C35" s="257"/>
      <c r="D35" s="2469"/>
      <c r="E35" s="2458"/>
      <c r="F35" s="2471"/>
      <c r="G35" s="2458"/>
      <c r="H35" s="2460"/>
      <c r="I35" s="2462"/>
      <c r="J35" s="2465"/>
      <c r="K35" s="2456"/>
      <c r="L35" s="2456"/>
      <c r="M35" s="2456"/>
      <c r="N35" s="2454"/>
      <c r="O35" s="2456"/>
      <c r="P35" s="1334"/>
      <c r="Q35" s="1213"/>
      <c r="R35" s="1213"/>
      <c r="S35" s="266"/>
      <c r="T35" s="266"/>
      <c r="U35" s="266"/>
      <c r="V35" s="266"/>
      <c r="W35" s="1214"/>
      <c r="X35" s="1175"/>
      <c r="Y35" s="1175"/>
      <c r="Z35" s="1175"/>
      <c r="AA35" s="1175"/>
      <c r="AB35" s="1175"/>
      <c r="AC35" s="1175"/>
      <c r="AD35" s="1175"/>
      <c r="AE35" s="1175"/>
      <c r="AF35" s="1175"/>
      <c r="AG35" s="1175"/>
      <c r="AH35" s="1175"/>
      <c r="AI35" s="1175"/>
      <c r="AJ35" s="1175"/>
      <c r="AK35" s="1175"/>
      <c r="AL35" s="1175"/>
      <c r="AM35" s="1175"/>
      <c r="AN35" s="1175"/>
      <c r="AO35" s="1175"/>
      <c r="AP35" s="1175"/>
      <c r="AQ35" s="1175"/>
      <c r="AR35" s="1199">
        <v>0</v>
      </c>
    </row>
    <row r="36" spans="1:44" s="2380" customFormat="1" ht="17.25" hidden="1" customHeight="1">
      <c r="A36" s="258"/>
      <c r="C36" s="257"/>
      <c r="D36" s="2469"/>
      <c r="E36" s="2458"/>
      <c r="F36" s="2471"/>
      <c r="G36" s="2458"/>
      <c r="H36" s="2460"/>
      <c r="I36" s="2462"/>
      <c r="J36" s="2465"/>
      <c r="K36" s="2456"/>
      <c r="L36" s="1213"/>
      <c r="M36" s="1213"/>
      <c r="N36" s="1213"/>
      <c r="O36" s="1213"/>
      <c r="P36" s="1213"/>
      <c r="Q36" s="1213"/>
      <c r="R36" s="1213"/>
      <c r="S36" s="266"/>
      <c r="T36" s="266"/>
      <c r="U36" s="266"/>
      <c r="V36" s="266"/>
      <c r="W36" s="1214"/>
      <c r="X36" s="1175"/>
      <c r="Y36" s="1175"/>
      <c r="Z36" s="1175"/>
      <c r="AA36" s="1175"/>
      <c r="AB36" s="1175"/>
      <c r="AC36" s="1175"/>
      <c r="AD36" s="1175"/>
      <c r="AE36" s="1175"/>
      <c r="AF36" s="1175"/>
      <c r="AG36" s="1175"/>
      <c r="AH36" s="1175"/>
      <c r="AI36" s="1175"/>
      <c r="AJ36" s="1175"/>
      <c r="AK36" s="1175"/>
      <c r="AL36" s="1175"/>
      <c r="AM36" s="1175"/>
      <c r="AN36" s="1175"/>
      <c r="AO36" s="1175"/>
      <c r="AP36" s="1175"/>
      <c r="AQ36" s="1175"/>
      <c r="AR36" s="1199">
        <v>0</v>
      </c>
    </row>
    <row r="37" spans="1:44" s="2380" customFormat="1" ht="17.25" hidden="1" customHeight="1">
      <c r="A37" s="258"/>
      <c r="C37" s="257"/>
      <c r="D37" s="2469"/>
      <c r="E37" s="2458"/>
      <c r="F37" s="2472"/>
      <c r="G37" s="2458"/>
      <c r="H37" s="1215"/>
      <c r="I37" s="1216"/>
      <c r="J37" s="1216"/>
      <c r="K37" s="1216"/>
      <c r="L37" s="1216"/>
      <c r="M37" s="1216"/>
      <c r="N37" s="1216"/>
      <c r="O37" s="1216"/>
      <c r="P37" s="1216"/>
      <c r="Q37" s="1216"/>
      <c r="R37" s="1216"/>
      <c r="S37" s="1217"/>
      <c r="T37" s="1217"/>
      <c r="U37" s="1217"/>
      <c r="V37" s="1217"/>
      <c r="W37" s="1218"/>
      <c r="X37" s="1175"/>
      <c r="Y37" s="1175"/>
      <c r="Z37" s="1175"/>
      <c r="AA37" s="1175"/>
      <c r="AB37" s="1175"/>
      <c r="AC37" s="1175"/>
      <c r="AD37" s="1175"/>
      <c r="AE37" s="1175"/>
      <c r="AF37" s="1175"/>
      <c r="AG37" s="1175"/>
      <c r="AH37" s="1175"/>
      <c r="AI37" s="1175"/>
      <c r="AJ37" s="1175"/>
      <c r="AK37" s="1175"/>
      <c r="AL37" s="1175"/>
      <c r="AM37" s="1175"/>
      <c r="AN37" s="1175"/>
      <c r="AO37" s="1175"/>
      <c r="AP37" s="1175"/>
      <c r="AQ37" s="1175"/>
      <c r="AR37" s="1199">
        <v>0</v>
      </c>
    </row>
    <row r="38" spans="1:44" s="2380" customFormat="1" ht="17.25" hidden="1" customHeight="1">
      <c r="A38" s="258"/>
      <c r="C38" s="146"/>
      <c r="D38" s="2468">
        <v>5</v>
      </c>
      <c r="E38" s="2457" t="s">
        <v>179</v>
      </c>
      <c r="F38" s="2470" t="s">
        <v>19</v>
      </c>
      <c r="G38" s="2457"/>
      <c r="H38" s="2459"/>
      <c r="I38" s="2461"/>
      <c r="J38" s="2463"/>
      <c r="K38" s="2455"/>
      <c r="L38" s="2455"/>
      <c r="M38" s="2455"/>
      <c r="N38" s="2466"/>
      <c r="O38" s="2455"/>
      <c r="P38" s="2455"/>
      <c r="Q38" s="2455"/>
      <c r="R38" s="2453"/>
      <c r="S38" s="2455"/>
      <c r="T38" s="1336"/>
      <c r="U38" s="1336"/>
      <c r="V38" s="1335"/>
      <c r="W38" s="1212"/>
      <c r="X38" s="1183"/>
      <c r="Y38" s="1183"/>
      <c r="Z38" s="1183"/>
      <c r="AA38" s="1183"/>
      <c r="AB38" s="1183"/>
      <c r="AC38" s="1183" t="s">
        <v>180</v>
      </c>
      <c r="AD38" s="1183" t="s">
        <v>181</v>
      </c>
      <c r="AE38" s="1183" t="s">
        <v>182</v>
      </c>
      <c r="AF38" s="1183" t="s">
        <v>183</v>
      </c>
      <c r="AG38" s="1183" t="s">
        <v>184</v>
      </c>
      <c r="AH38" s="1183" t="str">
        <f>IF($E$38=0,"",$E$38)</f>
        <v>Тарифы на услуги по передаче тепловой энергии</v>
      </c>
      <c r="AI38" s="1183" t="str">
        <f>IF($G$38=0,"",$G$38)</f>
        <v/>
      </c>
      <c r="AJ38" s="1183" t="str">
        <f>IF($J$38=0,"",$J$38)</f>
        <v/>
      </c>
      <c r="AK38" s="1183" t="str">
        <f>IF($K$38="нет","без дифференциации",IF($N$38=0,"",$N$38))</f>
        <v/>
      </c>
      <c r="AL38" s="1183" t="str">
        <f>IF($O$38="нет","без дифференциации",IF($R$38=0,"",$R$38))</f>
        <v/>
      </c>
      <c r="AM38" s="1183" t="str">
        <f>IF($S$38="нет","без дифференциации",IF($V$38=0,"",$V$38))</f>
        <v/>
      </c>
      <c r="AN38" s="1687">
        <f>$I$38</f>
        <v>0</v>
      </c>
      <c r="AO38" s="1183" t="str">
        <f>$I$38&amp;"."&amp;$M$38</f>
        <v>.</v>
      </c>
      <c r="AP38" s="1175" t="str">
        <f>$I$38&amp;"."&amp;$M$38&amp;"."&amp;$Q$38</f>
        <v>..</v>
      </c>
      <c r="AQ38" s="1175" t="str">
        <f>$I$38&amp;"."&amp;$M$38&amp;"."&amp;$Q$38&amp;"."&amp;$U$38</f>
        <v>...</v>
      </c>
      <c r="AR38" s="1199">
        <v>0</v>
      </c>
    </row>
    <row r="39" spans="1:44" s="2380" customFormat="1" ht="17.25" hidden="1" customHeight="1">
      <c r="A39" s="258"/>
      <c r="C39" s="257"/>
      <c r="D39" s="2468"/>
      <c r="E39" s="2457"/>
      <c r="F39" s="2471"/>
      <c r="G39" s="2457"/>
      <c r="H39" s="2460"/>
      <c r="I39" s="2462"/>
      <c r="J39" s="2464"/>
      <c r="K39" s="2456"/>
      <c r="L39" s="2456"/>
      <c r="M39" s="2456"/>
      <c r="N39" s="2467"/>
      <c r="O39" s="2456"/>
      <c r="P39" s="2456"/>
      <c r="Q39" s="2456"/>
      <c r="R39" s="2454"/>
      <c r="S39" s="2456"/>
      <c r="T39" s="1213"/>
      <c r="U39" s="1213"/>
      <c r="V39" s="1213"/>
      <c r="W39" s="1214"/>
      <c r="X39" s="1175"/>
      <c r="Y39" s="1175"/>
      <c r="Z39" s="1175"/>
      <c r="AA39" s="1175"/>
      <c r="AB39" s="1175"/>
      <c r="AC39" s="1175"/>
      <c r="AD39" s="1175"/>
      <c r="AE39" s="1175"/>
      <c r="AF39" s="1175"/>
      <c r="AG39" s="1175"/>
      <c r="AH39" s="1175"/>
      <c r="AI39" s="1175"/>
      <c r="AJ39" s="1175"/>
      <c r="AK39" s="1175"/>
      <c r="AL39" s="1175"/>
      <c r="AM39" s="1175"/>
      <c r="AN39" s="1175"/>
      <c r="AO39" s="1175"/>
      <c r="AP39" s="1175"/>
      <c r="AQ39" s="1175"/>
      <c r="AR39" s="1199">
        <v>0</v>
      </c>
    </row>
    <row r="40" spans="1:44" s="2380" customFormat="1" ht="17.25" hidden="1" customHeight="1">
      <c r="A40" s="258"/>
      <c r="C40" s="257"/>
      <c r="D40" s="2469"/>
      <c r="E40" s="2458"/>
      <c r="F40" s="2471"/>
      <c r="G40" s="2458"/>
      <c r="H40" s="2460"/>
      <c r="I40" s="2462"/>
      <c r="J40" s="2465"/>
      <c r="K40" s="2456"/>
      <c r="L40" s="2456"/>
      <c r="M40" s="2456"/>
      <c r="N40" s="2454"/>
      <c r="O40" s="2456"/>
      <c r="P40" s="1334"/>
      <c r="Q40" s="1213"/>
      <c r="R40" s="1213"/>
      <c r="S40" s="266"/>
      <c r="T40" s="266"/>
      <c r="U40" s="266"/>
      <c r="V40" s="266"/>
      <c r="W40" s="1214"/>
      <c r="X40" s="1175"/>
      <c r="Y40" s="1175"/>
      <c r="Z40" s="1175"/>
      <c r="AA40" s="1175"/>
      <c r="AB40" s="1175"/>
      <c r="AC40" s="1175"/>
      <c r="AD40" s="1175"/>
      <c r="AE40" s="1175"/>
      <c r="AF40" s="1175"/>
      <c r="AG40" s="1175"/>
      <c r="AH40" s="1175"/>
      <c r="AI40" s="1175"/>
      <c r="AJ40" s="1175"/>
      <c r="AK40" s="1175"/>
      <c r="AL40" s="1175"/>
      <c r="AM40" s="1175"/>
      <c r="AN40" s="1175"/>
      <c r="AO40" s="1175"/>
      <c r="AP40" s="1175"/>
      <c r="AQ40" s="1175"/>
      <c r="AR40" s="1199">
        <v>0</v>
      </c>
    </row>
    <row r="41" spans="1:44" s="2380" customFormat="1" ht="17.25" hidden="1" customHeight="1">
      <c r="A41" s="258"/>
      <c r="C41" s="257"/>
      <c r="D41" s="2469"/>
      <c r="E41" s="2458"/>
      <c r="F41" s="2471"/>
      <c r="G41" s="2458"/>
      <c r="H41" s="2460"/>
      <c r="I41" s="2462"/>
      <c r="J41" s="2465"/>
      <c r="K41" s="2456"/>
      <c r="L41" s="1213"/>
      <c r="M41" s="1213"/>
      <c r="N41" s="1213"/>
      <c r="O41" s="1213"/>
      <c r="P41" s="1213"/>
      <c r="Q41" s="1213"/>
      <c r="R41" s="1213"/>
      <c r="S41" s="266"/>
      <c r="T41" s="266"/>
      <c r="U41" s="266"/>
      <c r="V41" s="266"/>
      <c r="W41" s="1214"/>
      <c r="X41" s="1175"/>
      <c r="Y41" s="1175"/>
      <c r="Z41" s="1175"/>
      <c r="AA41" s="1175"/>
      <c r="AB41" s="1175"/>
      <c r="AC41" s="1175"/>
      <c r="AD41" s="1175"/>
      <c r="AE41" s="1175"/>
      <c r="AF41" s="1175"/>
      <c r="AG41" s="1175"/>
      <c r="AH41" s="1175"/>
      <c r="AI41" s="1175"/>
      <c r="AJ41" s="1175"/>
      <c r="AK41" s="1175"/>
      <c r="AL41" s="1175"/>
      <c r="AM41" s="1175"/>
      <c r="AN41" s="1175"/>
      <c r="AO41" s="1175"/>
      <c r="AP41" s="1175"/>
      <c r="AQ41" s="1175"/>
      <c r="AR41" s="1199">
        <v>0</v>
      </c>
    </row>
    <row r="42" spans="1:44" s="2380" customFormat="1" ht="17.25" hidden="1" customHeight="1">
      <c r="A42" s="258"/>
      <c r="C42" s="257"/>
      <c r="D42" s="2469"/>
      <c r="E42" s="2458"/>
      <c r="F42" s="2472"/>
      <c r="G42" s="2458"/>
      <c r="H42" s="1215"/>
      <c r="I42" s="1216"/>
      <c r="J42" s="1216"/>
      <c r="K42" s="1216"/>
      <c r="L42" s="1216"/>
      <c r="M42" s="1216"/>
      <c r="N42" s="1216"/>
      <c r="O42" s="1216"/>
      <c r="P42" s="1216"/>
      <c r="Q42" s="1216"/>
      <c r="R42" s="1216"/>
      <c r="S42" s="1217"/>
      <c r="T42" s="1217"/>
      <c r="U42" s="1217"/>
      <c r="V42" s="1217"/>
      <c r="W42" s="1218"/>
      <c r="X42" s="1175"/>
      <c r="Y42" s="1175"/>
      <c r="Z42" s="1175"/>
      <c r="AA42" s="1175"/>
      <c r="AB42" s="1175"/>
      <c r="AC42" s="1175"/>
      <c r="AD42" s="1175"/>
      <c r="AE42" s="1175"/>
      <c r="AF42" s="1175"/>
      <c r="AG42" s="1175"/>
      <c r="AH42" s="1175"/>
      <c r="AI42" s="1175"/>
      <c r="AJ42" s="1175"/>
      <c r="AK42" s="1175"/>
      <c r="AL42" s="1175"/>
      <c r="AM42" s="1175"/>
      <c r="AN42" s="1175"/>
      <c r="AO42" s="1175"/>
      <c r="AP42" s="1175"/>
      <c r="AQ42" s="1175"/>
      <c r="AR42" s="1199">
        <v>0</v>
      </c>
    </row>
    <row r="43" spans="1:44" s="2380" customFormat="1" ht="17.25" hidden="1" customHeight="1">
      <c r="A43" s="258"/>
      <c r="C43" s="146"/>
      <c r="D43" s="2468">
        <v>6</v>
      </c>
      <c r="E43" s="2457" t="s">
        <v>185</v>
      </c>
      <c r="F43" s="2470" t="s">
        <v>19</v>
      </c>
      <c r="G43" s="2457"/>
      <c r="H43" s="2459"/>
      <c r="I43" s="2461"/>
      <c r="J43" s="2463"/>
      <c r="K43" s="2455"/>
      <c r="L43" s="2455"/>
      <c r="M43" s="2455"/>
      <c r="N43" s="2466"/>
      <c r="O43" s="2455"/>
      <c r="P43" s="2455"/>
      <c r="Q43" s="2455"/>
      <c r="R43" s="2453"/>
      <c r="S43" s="2455"/>
      <c r="T43" s="1336"/>
      <c r="U43" s="1336"/>
      <c r="V43" s="1335"/>
      <c r="W43" s="1212"/>
      <c r="X43" s="1183"/>
      <c r="Y43" s="1183"/>
      <c r="Z43" s="1183"/>
      <c r="AA43" s="1183"/>
      <c r="AB43" s="1183"/>
      <c r="AC43" s="1183" t="s">
        <v>186</v>
      </c>
      <c r="AD43" s="1183" t="s">
        <v>187</v>
      </c>
      <c r="AE43" s="1183" t="s">
        <v>188</v>
      </c>
      <c r="AF43" s="1183" t="s">
        <v>189</v>
      </c>
      <c r="AG43" s="1183" t="s">
        <v>190</v>
      </c>
      <c r="AH43" s="1183" t="str">
        <f>IF($E$43=0,"",$E$43)</f>
        <v>Тарифы на услуги по передаче теплоносителя</v>
      </c>
      <c r="AI43" s="1183" t="str">
        <f>IF($G$43=0,"",$G$43)</f>
        <v/>
      </c>
      <c r="AJ43" s="1183" t="str">
        <f>IF($J$43=0,"",$J$43)</f>
        <v/>
      </c>
      <c r="AK43" s="1183" t="str">
        <f>IF($K$43="нет","без дифференциации",IF($N$43=0,"",$N$43))</f>
        <v/>
      </c>
      <c r="AL43" s="1183" t="str">
        <f>IF($O$43="нет","без дифференциации",IF($R$43=0,"",$R$43))</f>
        <v/>
      </c>
      <c r="AM43" s="1183" t="str">
        <f>IF($S$43="нет","без дифференциации",IF($V$43=0,"",$V$43))</f>
        <v/>
      </c>
      <c r="AN43" s="1687">
        <f>$I$43</f>
        <v>0</v>
      </c>
      <c r="AO43" s="1183" t="str">
        <f>$I$43&amp;"."&amp;$M$43</f>
        <v>.</v>
      </c>
      <c r="AP43" s="1175" t="str">
        <f>$I$43&amp;"."&amp;$M$43&amp;"."&amp;$Q$43</f>
        <v>..</v>
      </c>
      <c r="AQ43" s="1175" t="str">
        <f>$I$43&amp;"."&amp;$M$43&amp;"."&amp;$Q$43&amp;"."&amp;$U$43</f>
        <v>...</v>
      </c>
      <c r="AR43" s="1199">
        <v>0</v>
      </c>
    </row>
    <row r="44" spans="1:44" s="2380" customFormat="1" ht="17.25" hidden="1" customHeight="1">
      <c r="A44" s="258"/>
      <c r="C44" s="257"/>
      <c r="D44" s="2468"/>
      <c r="E44" s="2457"/>
      <c r="F44" s="2471"/>
      <c r="G44" s="2457"/>
      <c r="H44" s="2460"/>
      <c r="I44" s="2462"/>
      <c r="J44" s="2464"/>
      <c r="K44" s="2456"/>
      <c r="L44" s="2456"/>
      <c r="M44" s="2456"/>
      <c r="N44" s="2467"/>
      <c r="O44" s="2456"/>
      <c r="P44" s="2456"/>
      <c r="Q44" s="2456"/>
      <c r="R44" s="2454"/>
      <c r="S44" s="2456"/>
      <c r="T44" s="1213"/>
      <c r="U44" s="1213"/>
      <c r="V44" s="1213"/>
      <c r="W44" s="1214"/>
      <c r="X44" s="1175"/>
      <c r="Y44" s="1175"/>
      <c r="Z44" s="1175"/>
      <c r="AA44" s="1175"/>
      <c r="AB44" s="1175"/>
      <c r="AC44" s="1175"/>
      <c r="AD44" s="1175"/>
      <c r="AE44" s="1175"/>
      <c r="AF44" s="1175"/>
      <c r="AG44" s="1175"/>
      <c r="AH44" s="1175"/>
      <c r="AI44" s="1175"/>
      <c r="AJ44" s="1175"/>
      <c r="AK44" s="1175"/>
      <c r="AL44" s="1175"/>
      <c r="AM44" s="1175"/>
      <c r="AN44" s="1175"/>
      <c r="AO44" s="1175"/>
      <c r="AP44" s="1175"/>
      <c r="AQ44" s="1175"/>
      <c r="AR44" s="1199">
        <v>0</v>
      </c>
    </row>
    <row r="45" spans="1:44" s="2380" customFormat="1" ht="17.25" hidden="1" customHeight="1">
      <c r="A45" s="258"/>
      <c r="C45" s="257"/>
      <c r="D45" s="2469"/>
      <c r="E45" s="2458"/>
      <c r="F45" s="2471"/>
      <c r="G45" s="2458"/>
      <c r="H45" s="2460"/>
      <c r="I45" s="2462"/>
      <c r="J45" s="2465"/>
      <c r="K45" s="2456"/>
      <c r="L45" s="2456"/>
      <c r="M45" s="2456"/>
      <c r="N45" s="2454"/>
      <c r="O45" s="2456"/>
      <c r="P45" s="1334"/>
      <c r="Q45" s="1213"/>
      <c r="R45" s="1213"/>
      <c r="S45" s="266"/>
      <c r="T45" s="266"/>
      <c r="U45" s="266"/>
      <c r="V45" s="266"/>
      <c r="W45" s="1214"/>
      <c r="X45" s="1175"/>
      <c r="Y45" s="1175"/>
      <c r="Z45" s="1175"/>
      <c r="AA45" s="1175"/>
      <c r="AB45" s="1175"/>
      <c r="AC45" s="1175"/>
      <c r="AD45" s="1175"/>
      <c r="AE45" s="1175"/>
      <c r="AF45" s="1175"/>
      <c r="AG45" s="1175"/>
      <c r="AH45" s="1175"/>
      <c r="AI45" s="1175"/>
      <c r="AJ45" s="1175"/>
      <c r="AK45" s="1175"/>
      <c r="AL45" s="1175"/>
      <c r="AM45" s="1175"/>
      <c r="AN45" s="1175"/>
      <c r="AO45" s="1175"/>
      <c r="AP45" s="1175"/>
      <c r="AQ45" s="1175"/>
      <c r="AR45" s="1199">
        <v>0</v>
      </c>
    </row>
    <row r="46" spans="1:44" s="2380" customFormat="1" ht="17.25" hidden="1" customHeight="1">
      <c r="A46" s="258"/>
      <c r="C46" s="146"/>
      <c r="D46" s="2469"/>
      <c r="E46" s="2458"/>
      <c r="F46" s="2471"/>
      <c r="G46" s="2458"/>
      <c r="H46" s="2460"/>
      <c r="I46" s="2462"/>
      <c r="J46" s="2465"/>
      <c r="K46" s="2456"/>
      <c r="L46" s="1213"/>
      <c r="M46" s="1213"/>
      <c r="N46" s="1213"/>
      <c r="O46" s="1213"/>
      <c r="P46" s="1213"/>
      <c r="Q46" s="1213"/>
      <c r="R46" s="1213"/>
      <c r="S46" s="266"/>
      <c r="T46" s="266"/>
      <c r="U46" s="266"/>
      <c r="V46" s="266"/>
      <c r="W46" s="1214"/>
      <c r="Y46" s="1183"/>
      <c r="Z46" s="1183"/>
      <c r="AA46" s="1183"/>
      <c r="AB46" s="1183"/>
      <c r="AC46" s="1183"/>
      <c r="AD46" s="1183"/>
      <c r="AE46" s="1183"/>
      <c r="AF46" s="1183"/>
      <c r="AG46" s="1183"/>
      <c r="AH46" s="1183"/>
      <c r="AI46" s="1183"/>
      <c r="AJ46" s="1183"/>
      <c r="AK46" s="1183"/>
      <c r="AL46" s="1183"/>
      <c r="AM46" s="1183"/>
      <c r="AN46" s="1183"/>
      <c r="AO46" s="1183"/>
      <c r="AP46" s="1183"/>
      <c r="AQ46" s="1183"/>
      <c r="AR46" s="1242">
        <v>0</v>
      </c>
    </row>
    <row r="47" spans="1:44" s="2380" customFormat="1" ht="17.25" hidden="1" customHeight="1">
      <c r="A47" s="258"/>
      <c r="C47" s="257"/>
      <c r="D47" s="2469"/>
      <c r="E47" s="2458"/>
      <c r="F47" s="2472"/>
      <c r="G47" s="2458"/>
      <c r="H47" s="1215"/>
      <c r="I47" s="1216"/>
      <c r="J47" s="1216"/>
      <c r="K47" s="1216"/>
      <c r="L47" s="1216"/>
      <c r="M47" s="1216"/>
      <c r="N47" s="1216"/>
      <c r="O47" s="1216"/>
      <c r="P47" s="1216"/>
      <c r="Q47" s="1216"/>
      <c r="R47" s="1216"/>
      <c r="S47" s="1217"/>
      <c r="T47" s="1217"/>
      <c r="U47" s="1217"/>
      <c r="V47" s="1217"/>
      <c r="W47" s="1218"/>
      <c r="X47" s="1175"/>
      <c r="Y47" s="1175"/>
      <c r="Z47" s="1175"/>
      <c r="AA47" s="1175"/>
      <c r="AB47" s="1175"/>
      <c r="AC47" s="1175"/>
      <c r="AD47" s="1175"/>
      <c r="AE47" s="1175"/>
      <c r="AF47" s="1175"/>
      <c r="AG47" s="1175"/>
      <c r="AH47" s="1175"/>
      <c r="AI47" s="1175"/>
      <c r="AJ47" s="1175"/>
      <c r="AK47" s="1175"/>
      <c r="AL47" s="1175"/>
      <c r="AM47" s="1175"/>
      <c r="AN47" s="1175"/>
      <c r="AO47" s="1175"/>
      <c r="AP47" s="1175"/>
      <c r="AQ47" s="1175"/>
      <c r="AR47" s="1199">
        <v>0</v>
      </c>
    </row>
    <row r="48" spans="1:44" s="2380" customFormat="1" ht="17.25" hidden="1" customHeight="1">
      <c r="A48" s="258"/>
      <c r="C48" s="146"/>
      <c r="D48" s="2476">
        <v>7</v>
      </c>
      <c r="E48" s="2479" t="s">
        <v>191</v>
      </c>
      <c r="F48" s="2470" t="s">
        <v>19</v>
      </c>
      <c r="G48" s="2479"/>
      <c r="H48" s="2459"/>
      <c r="I48" s="2461"/>
      <c r="J48" s="2463"/>
      <c r="K48" s="2455"/>
      <c r="L48" s="2455"/>
      <c r="M48" s="2455"/>
      <c r="N48" s="2466"/>
      <c r="O48" s="2455"/>
      <c r="P48" s="2455"/>
      <c r="Q48" s="2455"/>
      <c r="R48" s="2453"/>
      <c r="S48" s="2455"/>
      <c r="T48" s="1336"/>
      <c r="U48" s="1336"/>
      <c r="V48" s="1335"/>
      <c r="W48" s="1212"/>
      <c r="X48" s="1183"/>
      <c r="Y48" s="1183"/>
      <c r="Z48" s="1183"/>
      <c r="AA48" s="1183"/>
      <c r="AB48" s="1183"/>
      <c r="AC48" s="1183" t="s">
        <v>192</v>
      </c>
      <c r="AD48" s="1183" t="s">
        <v>193</v>
      </c>
      <c r="AE48" s="1183" t="s">
        <v>194</v>
      </c>
      <c r="AF48" s="1183" t="s">
        <v>195</v>
      </c>
      <c r="AG48" s="1183" t="s">
        <v>196</v>
      </c>
      <c r="AH48" s="1183" t="str">
        <f>IF($E$48=0,"",$E$48)</f>
        <v>Плата за услуги по поддержанию резервной тепловой мощности при отсутствии потребления тепловой энергии</v>
      </c>
      <c r="AI48" s="1183" t="str">
        <f>IF($G$48=0,"",$G$48)</f>
        <v/>
      </c>
      <c r="AJ48" s="1183" t="str">
        <f>IF($J$48=0,"",$J$48)</f>
        <v/>
      </c>
      <c r="AK48" s="1183" t="str">
        <f>IF($K$48="нет","без дифференциации",IF($N$48=0,"",$N$48))</f>
        <v/>
      </c>
      <c r="AL48" s="1183" t="str">
        <f>IF($O$48="нет","без дифференциации",IF($R$48=0,"",$R$48))</f>
        <v/>
      </c>
      <c r="AM48" s="1183" t="str">
        <f>IF($S$48="нет","без дифференциации",IF($V$48=0,"",$V$48))</f>
        <v/>
      </c>
      <c r="AN48" s="1687">
        <f>$I$48</f>
        <v>0</v>
      </c>
      <c r="AO48" s="1183" t="str">
        <f>$I$48&amp;"."&amp;$M$48</f>
        <v>.</v>
      </c>
      <c r="AP48" s="1175" t="str">
        <f>$I$48&amp;"."&amp;$M$48&amp;"."&amp;$Q$48</f>
        <v>..</v>
      </c>
      <c r="AQ48" s="1175" t="str">
        <f>$I$48&amp;"."&amp;$M$48&amp;"."&amp;$Q$48&amp;"."&amp;$U$48</f>
        <v>...</v>
      </c>
      <c r="AR48" s="1224">
        <v>0</v>
      </c>
    </row>
    <row r="49" spans="1:44" s="2380" customFormat="1" ht="17.25" hidden="1" customHeight="1">
      <c r="A49" s="258"/>
      <c r="C49" s="257"/>
      <c r="D49" s="2477"/>
      <c r="E49" s="2480"/>
      <c r="F49" s="2471"/>
      <c r="G49" s="2480"/>
      <c r="H49" s="2460"/>
      <c r="I49" s="2462"/>
      <c r="J49" s="2464"/>
      <c r="K49" s="2456"/>
      <c r="L49" s="2456"/>
      <c r="M49" s="2456"/>
      <c r="N49" s="2467"/>
      <c r="O49" s="2456"/>
      <c r="P49" s="2456"/>
      <c r="Q49" s="2456"/>
      <c r="R49" s="2454"/>
      <c r="S49" s="2456"/>
      <c r="T49" s="1213"/>
      <c r="U49" s="1213"/>
      <c r="V49" s="1213"/>
      <c r="W49" s="1214"/>
      <c r="X49" s="1175"/>
      <c r="Y49" s="1175"/>
      <c r="Z49" s="1175"/>
      <c r="AA49" s="1175"/>
      <c r="AB49" s="1175"/>
      <c r="AC49" s="1175"/>
      <c r="AD49" s="1175"/>
      <c r="AE49" s="1175"/>
      <c r="AF49" s="1175"/>
      <c r="AG49" s="1175"/>
      <c r="AH49" s="1175"/>
      <c r="AI49" s="1175"/>
      <c r="AJ49" s="1175"/>
      <c r="AK49" s="1175"/>
      <c r="AL49" s="1175"/>
      <c r="AM49" s="1175"/>
      <c r="AN49" s="1175"/>
      <c r="AO49" s="1175"/>
      <c r="AP49" s="1175"/>
      <c r="AQ49" s="1175"/>
      <c r="AR49" s="1224">
        <v>0</v>
      </c>
    </row>
    <row r="50" spans="1:44" s="2380" customFormat="1" ht="17.25" hidden="1" customHeight="1">
      <c r="A50" s="258"/>
      <c r="C50" s="257"/>
      <c r="D50" s="2477"/>
      <c r="E50" s="2480"/>
      <c r="F50" s="2471"/>
      <c r="G50" s="2480"/>
      <c r="H50" s="2460"/>
      <c r="I50" s="2462"/>
      <c r="J50" s="2465"/>
      <c r="K50" s="2456"/>
      <c r="L50" s="2456"/>
      <c r="M50" s="2456"/>
      <c r="N50" s="2454"/>
      <c r="O50" s="2456"/>
      <c r="P50" s="1334"/>
      <c r="Q50" s="1213"/>
      <c r="R50" s="1213"/>
      <c r="S50" s="266"/>
      <c r="T50" s="266"/>
      <c r="U50" s="266"/>
      <c r="V50" s="266"/>
      <c r="W50" s="1214"/>
      <c r="X50" s="1175"/>
      <c r="Y50" s="1175"/>
      <c r="Z50" s="1175"/>
      <c r="AA50" s="1175"/>
      <c r="AB50" s="1175"/>
      <c r="AC50" s="1175"/>
      <c r="AD50" s="1175"/>
      <c r="AE50" s="1175"/>
      <c r="AF50" s="1175"/>
      <c r="AG50" s="1175"/>
      <c r="AH50" s="1175"/>
      <c r="AI50" s="1175"/>
      <c r="AJ50" s="1175"/>
      <c r="AK50" s="1175"/>
      <c r="AL50" s="1175"/>
      <c r="AM50" s="1175"/>
      <c r="AN50" s="1175"/>
      <c r="AO50" s="1175"/>
      <c r="AP50" s="1175"/>
      <c r="AQ50" s="1175"/>
      <c r="AR50" s="1224">
        <v>0</v>
      </c>
    </row>
    <row r="51" spans="1:44" s="2380" customFormat="1" ht="17.25" hidden="1" customHeight="1">
      <c r="A51" s="258"/>
      <c r="C51" s="146"/>
      <c r="D51" s="2477"/>
      <c r="E51" s="2480"/>
      <c r="F51" s="2471"/>
      <c r="G51" s="2480"/>
      <c r="H51" s="2460"/>
      <c r="I51" s="2462"/>
      <c r="J51" s="2465"/>
      <c r="K51" s="2456"/>
      <c r="L51" s="1213"/>
      <c r="M51" s="1213"/>
      <c r="N51" s="1213"/>
      <c r="O51" s="1213"/>
      <c r="P51" s="1213"/>
      <c r="Q51" s="1213"/>
      <c r="R51" s="1213"/>
      <c r="S51" s="266"/>
      <c r="T51" s="266"/>
      <c r="U51" s="266"/>
      <c r="V51" s="266"/>
      <c r="W51" s="1214"/>
      <c r="Y51" s="1183"/>
      <c r="Z51" s="1183"/>
      <c r="AA51" s="1183"/>
      <c r="AB51" s="1183"/>
      <c r="AC51" s="1183"/>
      <c r="AD51" s="1183"/>
      <c r="AE51" s="1183"/>
      <c r="AF51" s="1183"/>
      <c r="AG51" s="1183"/>
      <c r="AH51" s="1183"/>
      <c r="AI51" s="1183"/>
      <c r="AJ51" s="1183"/>
      <c r="AK51" s="1183"/>
      <c r="AL51" s="1183"/>
      <c r="AM51" s="1183"/>
      <c r="AN51" s="1183"/>
      <c r="AO51" s="1183"/>
      <c r="AP51" s="1183"/>
      <c r="AQ51" s="1183"/>
      <c r="AR51" s="1242">
        <v>0</v>
      </c>
    </row>
    <row r="52" spans="1:44" s="2380" customFormat="1" ht="17.25" hidden="1" customHeight="1">
      <c r="A52" s="258"/>
      <c r="C52" s="257"/>
      <c r="D52" s="2478"/>
      <c r="E52" s="2481"/>
      <c r="F52" s="2472"/>
      <c r="G52" s="2481"/>
      <c r="H52" s="1215"/>
      <c r="I52" s="1216"/>
      <c r="J52" s="1216"/>
      <c r="K52" s="1216"/>
      <c r="L52" s="1216"/>
      <c r="M52" s="1216"/>
      <c r="N52" s="1216"/>
      <c r="O52" s="1216"/>
      <c r="P52" s="1216"/>
      <c r="Q52" s="1216"/>
      <c r="R52" s="1216"/>
      <c r="S52" s="1217"/>
      <c r="T52" s="1217"/>
      <c r="U52" s="1217"/>
      <c r="V52" s="1217"/>
      <c r="W52" s="1218"/>
      <c r="X52" s="1175"/>
      <c r="Y52" s="1175"/>
      <c r="Z52" s="1175"/>
      <c r="AA52" s="1175"/>
      <c r="AB52" s="1175"/>
      <c r="AC52" s="1175"/>
      <c r="AD52" s="1175"/>
      <c r="AE52" s="1175"/>
      <c r="AF52" s="1175"/>
      <c r="AG52" s="1175"/>
      <c r="AH52" s="1175"/>
      <c r="AI52" s="1175"/>
      <c r="AJ52" s="1175"/>
      <c r="AK52" s="1175"/>
      <c r="AL52" s="1175"/>
      <c r="AM52" s="1175"/>
      <c r="AN52" s="1175"/>
      <c r="AO52" s="1175"/>
      <c r="AP52" s="1175"/>
      <c r="AQ52" s="1175"/>
      <c r="AR52" s="1224">
        <v>0</v>
      </c>
    </row>
    <row r="53" spans="1:44" s="2380" customFormat="1" ht="17.25" hidden="1" customHeight="1">
      <c r="A53" s="258"/>
      <c r="C53" s="146"/>
      <c r="D53" s="2468">
        <v>8</v>
      </c>
      <c r="E53" s="2457" t="s">
        <v>197</v>
      </c>
      <c r="F53" s="2470" t="s">
        <v>19</v>
      </c>
      <c r="G53" s="2457"/>
      <c r="H53" s="2459"/>
      <c r="I53" s="2461"/>
      <c r="J53" s="2463"/>
      <c r="K53" s="2455"/>
      <c r="L53" s="2455"/>
      <c r="M53" s="2455"/>
      <c r="N53" s="2466"/>
      <c r="O53" s="2455"/>
      <c r="P53" s="2455"/>
      <c r="Q53" s="2455"/>
      <c r="R53" s="2453"/>
      <c r="S53" s="2455"/>
      <c r="T53" s="1386"/>
      <c r="U53" s="1386"/>
      <c r="V53" s="1388"/>
      <c r="W53" s="1212"/>
      <c r="X53" s="1183"/>
      <c r="Y53" s="1183"/>
      <c r="Z53" s="1183"/>
      <c r="AA53" s="1183"/>
      <c r="AB53" s="1183"/>
      <c r="AC53" s="1183" t="s">
        <v>198</v>
      </c>
      <c r="AD53" s="1183" t="s">
        <v>199</v>
      </c>
      <c r="AE53" s="1183" t="s">
        <v>200</v>
      </c>
      <c r="AF53" s="1183" t="s">
        <v>201</v>
      </c>
      <c r="AG53" s="1183" t="s">
        <v>202</v>
      </c>
      <c r="AH53" s="1183" t="str">
        <f>IF($E$53=0,"",$E$53)</f>
        <v>Плата за подключение (технологическое присоединение) к системе теплоснабжения</v>
      </c>
      <c r="AI53" s="1183" t="str">
        <f>IF($G$53=0,"",$G$53)</f>
        <v/>
      </c>
      <c r="AJ53" s="1183" t="str">
        <f>IF($J$53=0,"",$J$53)</f>
        <v/>
      </c>
      <c r="AK53" s="1183" t="str">
        <f>IF($K$53="нет","без дифференциации",IF($N$53=0,"",$N$53))</f>
        <v/>
      </c>
      <c r="AL53" s="1183" t="str">
        <f>IF($O$53="нет","без дифференциации",IF($R$53=0,"",$R$53))</f>
        <v/>
      </c>
      <c r="AM53" s="1183" t="str">
        <f>IF($S$53="нет","без дифференциации",IF($V$53=0,"",$V$53))</f>
        <v/>
      </c>
      <c r="AN53" s="1687">
        <f>$I$53</f>
        <v>0</v>
      </c>
      <c r="AO53" s="1183" t="str">
        <f>$I$53&amp;"."&amp;$M$53</f>
        <v>.</v>
      </c>
      <c r="AP53" s="1175" t="str">
        <f>$I$53&amp;"."&amp;$M$53&amp;"."&amp;$Q$53</f>
        <v>..</v>
      </c>
      <c r="AQ53" s="1175" t="str">
        <f>$I$53&amp;"."&amp;$M$53&amp;"."&amp;$Q$53&amp;"."&amp;$U$53</f>
        <v>...</v>
      </c>
      <c r="AR53" s="1224">
        <v>0</v>
      </c>
    </row>
    <row r="54" spans="1:44" s="2380" customFormat="1" ht="17.25" hidden="1" customHeight="1">
      <c r="A54" s="258"/>
      <c r="C54" s="257"/>
      <c r="D54" s="2468"/>
      <c r="E54" s="2457"/>
      <c r="F54" s="2471"/>
      <c r="G54" s="2457"/>
      <c r="H54" s="2460"/>
      <c r="I54" s="2462"/>
      <c r="J54" s="2464"/>
      <c r="K54" s="2456"/>
      <c r="L54" s="2456"/>
      <c r="M54" s="2456"/>
      <c r="N54" s="2467"/>
      <c r="O54" s="2456"/>
      <c r="P54" s="2456"/>
      <c r="Q54" s="2456"/>
      <c r="R54" s="2454"/>
      <c r="S54" s="2456"/>
      <c r="T54" s="1213"/>
      <c r="U54" s="1213"/>
      <c r="V54" s="1213"/>
      <c r="W54" s="1214"/>
      <c r="X54" s="1175"/>
      <c r="Y54" s="1175"/>
      <c r="Z54" s="1175"/>
      <c r="AA54" s="1175"/>
      <c r="AB54" s="1175"/>
      <c r="AC54" s="1175"/>
      <c r="AD54" s="1175"/>
      <c r="AE54" s="1175"/>
      <c r="AF54" s="1175"/>
      <c r="AG54" s="1175"/>
      <c r="AH54" s="1175"/>
      <c r="AI54" s="1175"/>
      <c r="AJ54" s="1175"/>
      <c r="AK54" s="1175"/>
      <c r="AL54" s="1175"/>
      <c r="AM54" s="1175"/>
      <c r="AN54" s="1175"/>
      <c r="AO54" s="1175"/>
      <c r="AP54" s="1175"/>
      <c r="AQ54" s="1175"/>
      <c r="AR54" s="1224">
        <v>0</v>
      </c>
    </row>
    <row r="55" spans="1:44" s="2380" customFormat="1" ht="17.25" hidden="1" customHeight="1">
      <c r="A55" s="258"/>
      <c r="C55" s="257"/>
      <c r="D55" s="2469"/>
      <c r="E55" s="2458"/>
      <c r="F55" s="2471"/>
      <c r="G55" s="2458"/>
      <c r="H55" s="2460"/>
      <c r="I55" s="2462"/>
      <c r="J55" s="2465"/>
      <c r="K55" s="2456"/>
      <c r="L55" s="2456"/>
      <c r="M55" s="2456"/>
      <c r="N55" s="2454"/>
      <c r="O55" s="2456"/>
      <c r="P55" s="1387"/>
      <c r="Q55" s="1213"/>
      <c r="R55" s="1213"/>
      <c r="S55" s="266"/>
      <c r="T55" s="266"/>
      <c r="U55" s="266"/>
      <c r="V55" s="266"/>
      <c r="W55" s="1214"/>
      <c r="X55" s="1175"/>
      <c r="Y55" s="1175"/>
      <c r="Z55" s="1175"/>
      <c r="AA55" s="1175"/>
      <c r="AB55" s="1175"/>
      <c r="AC55" s="1175"/>
      <c r="AD55" s="1175"/>
      <c r="AE55" s="1175"/>
      <c r="AF55" s="1175"/>
      <c r="AG55" s="1175"/>
      <c r="AH55" s="1175"/>
      <c r="AI55" s="1175"/>
      <c r="AJ55" s="1175"/>
      <c r="AK55" s="1175"/>
      <c r="AL55" s="1175"/>
      <c r="AM55" s="1175"/>
      <c r="AN55" s="1175"/>
      <c r="AO55" s="1175"/>
      <c r="AP55" s="1175"/>
      <c r="AQ55" s="1175"/>
      <c r="AR55" s="1224">
        <v>0</v>
      </c>
    </row>
    <row r="56" spans="1:44" s="2380" customFormat="1" ht="17.25" hidden="1" customHeight="1">
      <c r="A56" s="258"/>
      <c r="C56" s="146"/>
      <c r="D56" s="2469"/>
      <c r="E56" s="2458"/>
      <c r="F56" s="2471"/>
      <c r="G56" s="2458"/>
      <c r="H56" s="2460"/>
      <c r="I56" s="2462"/>
      <c r="J56" s="2465"/>
      <c r="K56" s="2456"/>
      <c r="L56" s="1213"/>
      <c r="M56" s="1213"/>
      <c r="N56" s="1213"/>
      <c r="O56" s="1213"/>
      <c r="P56" s="1213"/>
      <c r="Q56" s="1213"/>
      <c r="R56" s="1213"/>
      <c r="S56" s="266"/>
      <c r="T56" s="266"/>
      <c r="U56" s="266"/>
      <c r="V56" s="266"/>
      <c r="W56" s="1214"/>
      <c r="Y56" s="1183"/>
      <c r="Z56" s="1183"/>
      <c r="AA56" s="1183"/>
      <c r="AB56" s="1183"/>
      <c r="AC56" s="1183"/>
      <c r="AD56" s="1183"/>
      <c r="AE56" s="1183"/>
      <c r="AF56" s="1183"/>
      <c r="AG56" s="1183"/>
      <c r="AH56" s="1183"/>
      <c r="AI56" s="1183"/>
      <c r="AJ56" s="1183"/>
      <c r="AK56" s="1183"/>
      <c r="AL56" s="1183"/>
      <c r="AM56" s="1183"/>
      <c r="AN56" s="1183"/>
      <c r="AO56" s="1183"/>
      <c r="AP56" s="1183"/>
      <c r="AQ56" s="1183"/>
      <c r="AR56" s="1242">
        <v>0</v>
      </c>
    </row>
    <row r="57" spans="1:44" s="2380" customFormat="1" ht="17.25" hidden="1" customHeight="1">
      <c r="A57" s="258"/>
      <c r="C57" s="257"/>
      <c r="D57" s="2469"/>
      <c r="E57" s="2458"/>
      <c r="F57" s="2472"/>
      <c r="G57" s="2458"/>
      <c r="H57" s="1215"/>
      <c r="I57" s="1216"/>
      <c r="J57" s="1216"/>
      <c r="K57" s="1216"/>
      <c r="L57" s="1216"/>
      <c r="M57" s="1216"/>
      <c r="N57" s="1216"/>
      <c r="O57" s="1216"/>
      <c r="P57" s="1216"/>
      <c r="Q57" s="1216"/>
      <c r="R57" s="1216"/>
      <c r="S57" s="1217"/>
      <c r="T57" s="1217"/>
      <c r="U57" s="1217"/>
      <c r="V57" s="1217"/>
      <c r="W57" s="1218"/>
      <c r="X57" s="1175"/>
      <c r="Y57" s="1175"/>
      <c r="Z57" s="1175"/>
      <c r="AA57" s="1175"/>
      <c r="AB57" s="1175"/>
      <c r="AC57" s="1175"/>
      <c r="AD57" s="1175"/>
      <c r="AE57" s="1175"/>
      <c r="AF57" s="1175"/>
      <c r="AG57" s="1175"/>
      <c r="AH57" s="1175"/>
      <c r="AI57" s="1175"/>
      <c r="AJ57" s="1175"/>
      <c r="AK57" s="1175"/>
      <c r="AL57" s="1175"/>
      <c r="AM57" s="1175"/>
      <c r="AN57" s="1175"/>
      <c r="AO57" s="1175"/>
      <c r="AP57" s="1175"/>
      <c r="AQ57" s="1175"/>
      <c r="AR57" s="1224">
        <v>0</v>
      </c>
    </row>
    <row r="58" spans="1:44" s="2380" customFormat="1" ht="17.25" hidden="1" customHeight="1">
      <c r="A58" s="258"/>
      <c r="C58" s="146"/>
      <c r="D58" s="2468">
        <v>9</v>
      </c>
      <c r="E58" s="2457" t="s">
        <v>203</v>
      </c>
      <c r="F58" s="2470" t="s">
        <v>19</v>
      </c>
      <c r="G58" s="2457"/>
      <c r="H58" s="2459"/>
      <c r="I58" s="2461"/>
      <c r="J58" s="2463"/>
      <c r="K58" s="2455"/>
      <c r="L58" s="2455"/>
      <c r="M58" s="2455"/>
      <c r="N58" s="2466"/>
      <c r="O58" s="2455"/>
      <c r="P58" s="2455"/>
      <c r="Q58" s="2455"/>
      <c r="R58" s="2453"/>
      <c r="S58" s="2455"/>
      <c r="T58" s="1840"/>
      <c r="U58" s="1840"/>
      <c r="V58" s="1842"/>
      <c r="W58" s="1212"/>
      <c r="X58" s="1183"/>
      <c r="Y58" s="1183"/>
      <c r="Z58" s="1183"/>
      <c r="AA58" s="1183"/>
      <c r="AB58" s="1183"/>
      <c r="AC58" s="1183" t="s">
        <v>204</v>
      </c>
      <c r="AD58" s="1183" t="s">
        <v>205</v>
      </c>
      <c r="AE58" s="1183" t="s">
        <v>206</v>
      </c>
      <c r="AF58" s="1183" t="s">
        <v>207</v>
      </c>
      <c r="AG58" s="1183" t="s">
        <v>208</v>
      </c>
      <c r="AH58" s="1183" t="str">
        <f>IF($E$58=0,"",$E$58)</f>
        <v>Плата за подключение (технологическое присоединение) к системе теплоснабжения (индивидуальная)</v>
      </c>
      <c r="AI58" s="1183" t="str">
        <f>IF($G$58=0,"",$G$58)</f>
        <v/>
      </c>
      <c r="AJ58" s="1183" t="str">
        <f>IF($J$58=0,"",$J$58)</f>
        <v/>
      </c>
      <c r="AK58" s="1183" t="str">
        <f>IF($K$58="нет","без дифференциации",IF($N$58=0,"",$N$58))</f>
        <v/>
      </c>
      <c r="AL58" s="1183" t="str">
        <f>IF($O$58="нет","без дифференциации",IF($R$58=0,"",$R$58))</f>
        <v/>
      </c>
      <c r="AM58" s="1183" t="str">
        <f>IF($S$58="нет","без дифференциации",IF($V$58=0,"",$V$58))</f>
        <v/>
      </c>
      <c r="AN58" s="1687">
        <f>$I$58</f>
        <v>0</v>
      </c>
      <c r="AO58" s="1183" t="str">
        <f>$I$58&amp;"."&amp;$M$58</f>
        <v>.</v>
      </c>
      <c r="AP58" s="1182" t="str">
        <f>$I$58&amp;"."&amp;$M$58&amp;"."&amp;$Q$58</f>
        <v>..</v>
      </c>
      <c r="AQ58" s="1182" t="str">
        <f>$I$58&amp;"."&amp;$M$58&amp;"."&amp;$Q$58&amp;"."&amp;$U$58</f>
        <v>...</v>
      </c>
      <c r="AR58" s="1383">
        <v>0</v>
      </c>
    </row>
    <row r="59" spans="1:44" s="2380" customFormat="1" ht="17.25" hidden="1" customHeight="1">
      <c r="A59" s="258"/>
      <c r="C59" s="257"/>
      <c r="D59" s="2468"/>
      <c r="E59" s="2457"/>
      <c r="F59" s="2471"/>
      <c r="G59" s="2457"/>
      <c r="H59" s="2460"/>
      <c r="I59" s="2462"/>
      <c r="J59" s="2464"/>
      <c r="K59" s="2456"/>
      <c r="L59" s="2456"/>
      <c r="M59" s="2456"/>
      <c r="N59" s="2467"/>
      <c r="O59" s="2456"/>
      <c r="P59" s="2456"/>
      <c r="Q59" s="2456"/>
      <c r="R59" s="2454"/>
      <c r="S59" s="2456"/>
      <c r="T59" s="1843"/>
      <c r="U59" s="1843"/>
      <c r="V59" s="1843"/>
      <c r="W59" s="1844"/>
      <c r="X59" s="1182"/>
      <c r="Y59" s="1182"/>
      <c r="Z59" s="1182"/>
      <c r="AA59" s="1182"/>
      <c r="AB59" s="1182"/>
      <c r="AC59" s="1182"/>
      <c r="AD59" s="1182"/>
      <c r="AE59" s="1182"/>
      <c r="AF59" s="1182"/>
      <c r="AG59" s="1182"/>
      <c r="AH59" s="1182"/>
      <c r="AI59" s="1182"/>
      <c r="AJ59" s="1182"/>
      <c r="AK59" s="1182"/>
      <c r="AL59" s="1182"/>
      <c r="AM59" s="1182"/>
      <c r="AN59" s="1182"/>
      <c r="AO59" s="1182"/>
      <c r="AP59" s="1182"/>
      <c r="AQ59" s="1182"/>
      <c r="AR59" s="1383">
        <v>0</v>
      </c>
    </row>
    <row r="60" spans="1:44" s="2380" customFormat="1" ht="17.25" hidden="1" customHeight="1">
      <c r="A60" s="258"/>
      <c r="C60" s="257"/>
      <c r="D60" s="2469"/>
      <c r="E60" s="2458"/>
      <c r="F60" s="2471"/>
      <c r="G60" s="2458"/>
      <c r="H60" s="2460"/>
      <c r="I60" s="2462"/>
      <c r="J60" s="2465"/>
      <c r="K60" s="2456"/>
      <c r="L60" s="2456"/>
      <c r="M60" s="2456"/>
      <c r="N60" s="2454"/>
      <c r="O60" s="2456"/>
      <c r="P60" s="1841"/>
      <c r="Q60" s="1843"/>
      <c r="R60" s="1843"/>
      <c r="S60" s="266"/>
      <c r="T60" s="266"/>
      <c r="U60" s="266"/>
      <c r="V60" s="266"/>
      <c r="W60" s="1844"/>
      <c r="X60" s="1182"/>
      <c r="Y60" s="1182"/>
      <c r="Z60" s="1182"/>
      <c r="AA60" s="1182"/>
      <c r="AB60" s="1182"/>
      <c r="AC60" s="1182"/>
      <c r="AD60" s="1182"/>
      <c r="AE60" s="1182"/>
      <c r="AF60" s="1182"/>
      <c r="AG60" s="1182"/>
      <c r="AH60" s="1182"/>
      <c r="AI60" s="1182"/>
      <c r="AJ60" s="1182"/>
      <c r="AK60" s="1182"/>
      <c r="AL60" s="1182"/>
      <c r="AM60" s="1182"/>
      <c r="AN60" s="1182"/>
      <c r="AO60" s="1182"/>
      <c r="AP60" s="1182"/>
      <c r="AQ60" s="1182"/>
      <c r="AR60" s="1383">
        <v>0</v>
      </c>
    </row>
    <row r="61" spans="1:44" s="2380" customFormat="1" ht="17.25" hidden="1" customHeight="1">
      <c r="A61" s="258"/>
      <c r="C61" s="146"/>
      <c r="D61" s="2469"/>
      <c r="E61" s="2458"/>
      <c r="F61" s="2471"/>
      <c r="G61" s="2458"/>
      <c r="H61" s="2460"/>
      <c r="I61" s="2462"/>
      <c r="J61" s="2465"/>
      <c r="K61" s="2456"/>
      <c r="L61" s="1843"/>
      <c r="M61" s="1843"/>
      <c r="N61" s="1843"/>
      <c r="O61" s="1843"/>
      <c r="P61" s="1843"/>
      <c r="Q61" s="1843"/>
      <c r="R61" s="1843"/>
      <c r="S61" s="266"/>
      <c r="T61" s="266"/>
      <c r="U61" s="266"/>
      <c r="V61" s="266"/>
      <c r="W61" s="1844"/>
      <c r="Y61" s="1183"/>
      <c r="Z61" s="1183"/>
      <c r="AA61" s="1183"/>
      <c r="AB61" s="1183"/>
      <c r="AC61" s="1183"/>
      <c r="AD61" s="1183"/>
      <c r="AE61" s="1183"/>
      <c r="AF61" s="1183"/>
      <c r="AG61" s="1183"/>
      <c r="AH61" s="1183"/>
      <c r="AI61" s="1183"/>
      <c r="AJ61" s="1183"/>
      <c r="AK61" s="1183"/>
      <c r="AL61" s="1183"/>
      <c r="AM61" s="1183"/>
      <c r="AN61" s="1183"/>
      <c r="AO61" s="1183"/>
      <c r="AP61" s="1183"/>
      <c r="AQ61" s="1183"/>
      <c r="AR61" s="1383">
        <v>0</v>
      </c>
    </row>
    <row r="62" spans="1:44" s="2380" customFormat="1" ht="17.25" hidden="1" customHeight="1">
      <c r="A62" s="258"/>
      <c r="C62" s="257"/>
      <c r="D62" s="2469"/>
      <c r="E62" s="2458"/>
      <c r="F62" s="2472"/>
      <c r="G62" s="2458"/>
      <c r="H62" s="1215"/>
      <c r="I62" s="1845"/>
      <c r="J62" s="1845"/>
      <c r="K62" s="1845"/>
      <c r="L62" s="1845"/>
      <c r="M62" s="1845"/>
      <c r="N62" s="1845"/>
      <c r="O62" s="1845"/>
      <c r="P62" s="1845"/>
      <c r="Q62" s="1845"/>
      <c r="R62" s="1845"/>
      <c r="S62" s="1217"/>
      <c r="T62" s="1217"/>
      <c r="U62" s="1217"/>
      <c r="V62" s="1217"/>
      <c r="W62" s="1846"/>
      <c r="X62" s="1182"/>
      <c r="Y62" s="1182"/>
      <c r="Z62" s="1182"/>
      <c r="AA62" s="1182"/>
      <c r="AB62" s="1182"/>
      <c r="AC62" s="1182"/>
      <c r="AD62" s="1182"/>
      <c r="AE62" s="1182"/>
      <c r="AF62" s="1182"/>
      <c r="AG62" s="1182"/>
      <c r="AH62" s="1182"/>
      <c r="AI62" s="1182"/>
      <c r="AJ62" s="1182"/>
      <c r="AK62" s="1182"/>
      <c r="AL62" s="1182"/>
      <c r="AM62" s="1182"/>
      <c r="AN62" s="1182"/>
      <c r="AO62" s="1182"/>
      <c r="AP62" s="1182"/>
      <c r="AQ62" s="1182"/>
      <c r="AR62" s="1383">
        <v>0</v>
      </c>
    </row>
    <row r="63" spans="1:44" s="2380" customFormat="1" ht="17.25" hidden="1" customHeight="1">
      <c r="A63" s="258"/>
      <c r="C63" s="146"/>
      <c r="D63" s="2468">
        <v>10</v>
      </c>
      <c r="E63" s="2457" t="s">
        <v>209</v>
      </c>
      <c r="F63" s="2470" t="s">
        <v>19</v>
      </c>
      <c r="G63" s="2457"/>
      <c r="H63" s="2459"/>
      <c r="I63" s="2461"/>
      <c r="J63" s="2463"/>
      <c r="K63" s="2455"/>
      <c r="L63" s="2455"/>
      <c r="M63" s="2455"/>
      <c r="N63" s="2466"/>
      <c r="O63" s="2455"/>
      <c r="P63" s="2455"/>
      <c r="Q63" s="2455"/>
      <c r="R63" s="2453"/>
      <c r="S63" s="2455"/>
      <c r="T63" s="1840"/>
      <c r="U63" s="1840"/>
      <c r="V63" s="1842"/>
      <c r="W63" s="1212"/>
      <c r="X63" s="1183"/>
      <c r="Y63" s="1183"/>
      <c r="Z63" s="1183"/>
      <c r="AA63" s="1183"/>
      <c r="AB63" s="1183"/>
      <c r="AC63" s="1183" t="s">
        <v>210</v>
      </c>
      <c r="AD63" s="1183" t="s">
        <v>211</v>
      </c>
      <c r="AE63" s="1183" t="s">
        <v>212</v>
      </c>
      <c r="AF63" s="1183" t="s">
        <v>213</v>
      </c>
      <c r="AG63" s="1183" t="s">
        <v>214</v>
      </c>
      <c r="AH63" s="1183" t="str">
        <f>IF($E$63=0,"",$E$63)</f>
        <v>Предельный уровень цены на тепловую энергию (мощность), поставляемую теплоснабжающими организациями потребителям</v>
      </c>
      <c r="AI63" s="1183" t="str">
        <f>IF($G$63=0,"",$G$63)</f>
        <v/>
      </c>
      <c r="AJ63" s="1183" t="str">
        <f>IF($J$63=0,"",$J$63)</f>
        <v/>
      </c>
      <c r="AK63" s="1183" t="str">
        <f>IF($K$63="нет","без дифференциации",IF($N$63=0,"",$N$63))</f>
        <v/>
      </c>
      <c r="AL63" s="1183" t="str">
        <f>IF($O$63="нет","без дифференциации",IF($R$63=0,"",$R$63))</f>
        <v/>
      </c>
      <c r="AM63" s="1183" t="str">
        <f>IF($S$63="нет","без дифференциации",IF($V$63=0,"",$V$63))</f>
        <v/>
      </c>
      <c r="AN63" s="1687">
        <f>$I$63</f>
        <v>0</v>
      </c>
      <c r="AO63" s="1183" t="str">
        <f>$I$63&amp;"."&amp;$M$63</f>
        <v>.</v>
      </c>
      <c r="AP63" s="1182" t="str">
        <f>$I$63&amp;"."&amp;$M$63&amp;"."&amp;$Q$63</f>
        <v>..</v>
      </c>
      <c r="AQ63" s="1182" t="str">
        <f>$I$63&amp;"."&amp;$M$63&amp;"."&amp;$Q$63&amp;"."&amp;$U$63</f>
        <v>...</v>
      </c>
      <c r="AR63" s="1383">
        <v>0</v>
      </c>
    </row>
    <row r="64" spans="1:44" s="2380" customFormat="1" ht="17.25" hidden="1" customHeight="1">
      <c r="A64" s="258"/>
      <c r="C64" s="257"/>
      <c r="D64" s="2468"/>
      <c r="E64" s="2457"/>
      <c r="F64" s="2471"/>
      <c r="G64" s="2457"/>
      <c r="H64" s="2460"/>
      <c r="I64" s="2462"/>
      <c r="J64" s="2464"/>
      <c r="K64" s="2456"/>
      <c r="L64" s="2456"/>
      <c r="M64" s="2456"/>
      <c r="N64" s="2467"/>
      <c r="O64" s="2456"/>
      <c r="P64" s="2456"/>
      <c r="Q64" s="2456"/>
      <c r="R64" s="2454"/>
      <c r="S64" s="2456"/>
      <c r="T64" s="1843"/>
      <c r="U64" s="1843"/>
      <c r="V64" s="1843"/>
      <c r="W64" s="1844"/>
      <c r="X64" s="1182"/>
      <c r="Y64" s="1182"/>
      <c r="Z64" s="1182"/>
      <c r="AA64" s="1182"/>
      <c r="AB64" s="1182"/>
      <c r="AC64" s="1182"/>
      <c r="AD64" s="1182"/>
      <c r="AE64" s="1182"/>
      <c r="AF64" s="1182"/>
      <c r="AG64" s="1182"/>
      <c r="AH64" s="1182"/>
      <c r="AI64" s="1182"/>
      <c r="AJ64" s="1182"/>
      <c r="AK64" s="1182"/>
      <c r="AL64" s="1182"/>
      <c r="AM64" s="1182"/>
      <c r="AN64" s="1182"/>
      <c r="AO64" s="1182"/>
      <c r="AP64" s="1182"/>
      <c r="AQ64" s="1182"/>
      <c r="AR64" s="1383">
        <v>0</v>
      </c>
    </row>
    <row r="65" spans="1:44" s="2380" customFormat="1" ht="17.25" hidden="1" customHeight="1">
      <c r="A65" s="258"/>
      <c r="C65" s="257"/>
      <c r="D65" s="2469"/>
      <c r="E65" s="2458"/>
      <c r="F65" s="2471"/>
      <c r="G65" s="2458"/>
      <c r="H65" s="2460"/>
      <c r="I65" s="2462"/>
      <c r="J65" s="2465"/>
      <c r="K65" s="2456"/>
      <c r="L65" s="2456"/>
      <c r="M65" s="2456"/>
      <c r="N65" s="2454"/>
      <c r="O65" s="2456"/>
      <c r="P65" s="1841"/>
      <c r="Q65" s="1843"/>
      <c r="R65" s="1843"/>
      <c r="S65" s="266"/>
      <c r="T65" s="266"/>
      <c r="U65" s="266"/>
      <c r="V65" s="266"/>
      <c r="W65" s="1844"/>
      <c r="X65" s="1182"/>
      <c r="Y65" s="1182"/>
      <c r="Z65" s="1182"/>
      <c r="AA65" s="1182"/>
      <c r="AB65" s="1182"/>
      <c r="AC65" s="1182"/>
      <c r="AD65" s="1182"/>
      <c r="AE65" s="1182"/>
      <c r="AF65" s="1182"/>
      <c r="AG65" s="1182"/>
      <c r="AH65" s="1182"/>
      <c r="AI65" s="1182"/>
      <c r="AJ65" s="1182"/>
      <c r="AK65" s="1182"/>
      <c r="AL65" s="1182"/>
      <c r="AM65" s="1182"/>
      <c r="AN65" s="1182"/>
      <c r="AO65" s="1182"/>
      <c r="AP65" s="1182"/>
      <c r="AQ65" s="1182"/>
      <c r="AR65" s="1383">
        <v>0</v>
      </c>
    </row>
    <row r="66" spans="1:44" s="2380" customFormat="1" ht="17.25" hidden="1" customHeight="1">
      <c r="A66" s="258"/>
      <c r="C66" s="146"/>
      <c r="D66" s="2469"/>
      <c r="E66" s="2458"/>
      <c r="F66" s="2471"/>
      <c r="G66" s="2458"/>
      <c r="H66" s="2460"/>
      <c r="I66" s="2462"/>
      <c r="J66" s="2465"/>
      <c r="K66" s="2456"/>
      <c r="L66" s="1843"/>
      <c r="M66" s="1843"/>
      <c r="N66" s="1843"/>
      <c r="O66" s="1843"/>
      <c r="P66" s="1843"/>
      <c r="Q66" s="1843"/>
      <c r="R66" s="1843"/>
      <c r="S66" s="266"/>
      <c r="T66" s="266"/>
      <c r="U66" s="266"/>
      <c r="V66" s="266"/>
      <c r="W66" s="1844"/>
      <c r="Y66" s="1183"/>
      <c r="Z66" s="1183"/>
      <c r="AA66" s="1183"/>
      <c r="AB66" s="1183"/>
      <c r="AC66" s="1183"/>
      <c r="AD66" s="1183"/>
      <c r="AE66" s="1183"/>
      <c r="AF66" s="1183"/>
      <c r="AG66" s="1183"/>
      <c r="AH66" s="1183"/>
      <c r="AI66" s="1183"/>
      <c r="AJ66" s="1183"/>
      <c r="AK66" s="1183"/>
      <c r="AL66" s="1183"/>
      <c r="AM66" s="1183"/>
      <c r="AN66" s="1183"/>
      <c r="AO66" s="1183"/>
      <c r="AP66" s="1183"/>
      <c r="AQ66" s="1183"/>
      <c r="AR66" s="1383">
        <v>0</v>
      </c>
    </row>
    <row r="67" spans="1:44" s="2380" customFormat="1" ht="17.25" hidden="1" customHeight="1">
      <c r="A67" s="258"/>
      <c r="C67" s="257"/>
      <c r="D67" s="2469"/>
      <c r="E67" s="2458"/>
      <c r="F67" s="2472"/>
      <c r="G67" s="2458"/>
      <c r="H67" s="1215"/>
      <c r="I67" s="1845"/>
      <c r="J67" s="1845"/>
      <c r="K67" s="1845"/>
      <c r="L67" s="1845"/>
      <c r="M67" s="1845"/>
      <c r="N67" s="1845"/>
      <c r="O67" s="1845"/>
      <c r="P67" s="1845"/>
      <c r="Q67" s="1845"/>
      <c r="R67" s="1845"/>
      <c r="S67" s="1217"/>
      <c r="T67" s="1217"/>
      <c r="U67" s="1217"/>
      <c r="V67" s="1217"/>
      <c r="W67" s="1846"/>
      <c r="X67" s="1182"/>
      <c r="Y67" s="1182"/>
      <c r="Z67" s="1182"/>
      <c r="AA67" s="1182"/>
      <c r="AB67" s="1182"/>
      <c r="AC67" s="1182"/>
      <c r="AD67" s="1182"/>
      <c r="AE67" s="1182"/>
      <c r="AF67" s="1182"/>
      <c r="AG67" s="1182"/>
      <c r="AH67" s="1182"/>
      <c r="AI67" s="1182"/>
      <c r="AJ67" s="1182"/>
      <c r="AK67" s="1182"/>
      <c r="AL67" s="1182"/>
      <c r="AM67" s="1182"/>
      <c r="AN67" s="1182"/>
      <c r="AO67" s="1182"/>
      <c r="AP67" s="1182"/>
      <c r="AQ67" s="1182"/>
      <c r="AR67" s="1383">
        <v>0</v>
      </c>
    </row>
    <row r="68" spans="1:44" ht="11.25" hidden="1" customHeight="1">
      <c r="AR68" s="44">
        <v>0</v>
      </c>
    </row>
    <row r="69" spans="1:44" ht="11.25" hidden="1" customHeight="1">
      <c r="E69" s="2475" t="s">
        <v>215</v>
      </c>
      <c r="F69" s="2475"/>
      <c r="G69" s="2475"/>
      <c r="H69" s="2475"/>
      <c r="I69" s="2475"/>
      <c r="J69" s="2475"/>
      <c r="K69" s="2475"/>
      <c r="L69" s="2475"/>
      <c r="M69" s="2475"/>
      <c r="N69" s="2475"/>
      <c r="O69" s="2475"/>
      <c r="P69" s="2475"/>
      <c r="Q69" s="2475"/>
      <c r="R69" s="2475"/>
      <c r="S69" s="2475"/>
      <c r="T69" s="2475"/>
      <c r="U69" s="2475"/>
      <c r="V69" s="2475"/>
      <c r="W69" s="2475"/>
      <c r="AR69" s="44">
        <v>0</v>
      </c>
    </row>
    <row r="70" spans="1:44" ht="36.75" hidden="1" customHeight="1">
      <c r="E70" s="2473" t="s">
        <v>216</v>
      </c>
      <c r="F70" s="2473"/>
      <c r="G70" s="2474"/>
      <c r="H70" s="2474"/>
      <c r="I70" s="2474"/>
      <c r="J70" s="2474"/>
      <c r="K70" s="2474"/>
      <c r="L70" s="2474"/>
      <c r="M70" s="2474"/>
      <c r="N70" s="2474"/>
      <c r="O70" s="2474"/>
      <c r="P70" s="2474"/>
      <c r="Q70" s="2474"/>
      <c r="R70" s="2474"/>
      <c r="S70" s="2474"/>
      <c r="T70" s="2474"/>
      <c r="U70" s="2474"/>
      <c r="V70" s="2474"/>
      <c r="W70" s="2474"/>
      <c r="AR70" s="44">
        <v>0</v>
      </c>
    </row>
    <row r="71" spans="1:44" ht="28.5" hidden="1" customHeight="1">
      <c r="E71" s="2473" t="s">
        <v>217</v>
      </c>
      <c r="F71" s="2473"/>
      <c r="G71" s="2474"/>
      <c r="H71" s="2474"/>
      <c r="I71" s="2474"/>
      <c r="J71" s="2474"/>
      <c r="K71" s="2474"/>
      <c r="L71" s="2474"/>
      <c r="M71" s="2474"/>
      <c r="N71" s="2474"/>
      <c r="O71" s="2474"/>
      <c r="P71" s="2474"/>
      <c r="Q71" s="2474"/>
      <c r="R71" s="2474"/>
      <c r="S71" s="2474"/>
      <c r="T71" s="2474"/>
      <c r="U71" s="2474"/>
      <c r="V71" s="2474"/>
      <c r="W71" s="2474"/>
      <c r="AR71" s="44">
        <v>0</v>
      </c>
    </row>
    <row r="72" spans="1:44" ht="27" hidden="1" customHeight="1">
      <c r="E72" s="2473" t="s">
        <v>218</v>
      </c>
      <c r="F72" s="2473"/>
      <c r="G72" s="2474"/>
      <c r="H72" s="2474"/>
      <c r="I72" s="2474"/>
      <c r="J72" s="2474"/>
      <c r="K72" s="2474"/>
      <c r="L72" s="2474"/>
      <c r="M72" s="2474"/>
      <c r="N72" s="2474"/>
      <c r="O72" s="2474"/>
      <c r="P72" s="2474"/>
      <c r="Q72" s="2474"/>
      <c r="R72" s="2474"/>
      <c r="S72" s="2474"/>
      <c r="T72" s="2474"/>
      <c r="U72" s="2474"/>
      <c r="V72" s="2474"/>
      <c r="W72" s="2474"/>
      <c r="AR72" s="44">
        <v>0</v>
      </c>
    </row>
    <row r="73" spans="1:44" ht="17.25" hidden="1" customHeight="1">
      <c r="E73" s="2473" t="s">
        <v>219</v>
      </c>
      <c r="F73" s="2473"/>
      <c r="G73" s="2474"/>
      <c r="H73" s="2474"/>
      <c r="I73" s="2474"/>
      <c r="J73" s="2474"/>
      <c r="K73" s="2474"/>
      <c r="L73" s="2474"/>
      <c r="M73" s="2474"/>
      <c r="N73" s="2474"/>
      <c r="O73" s="2474"/>
      <c r="P73" s="2474"/>
      <c r="Q73" s="2474"/>
      <c r="R73" s="2474"/>
      <c r="S73" s="2474"/>
      <c r="T73" s="2474"/>
      <c r="U73" s="2474"/>
      <c r="V73" s="2474"/>
      <c r="W73" s="2474"/>
      <c r="AR73" s="44">
        <v>0</v>
      </c>
    </row>
    <row r="74" spans="1:44" ht="15" hidden="1" customHeight="1">
      <c r="E74" s="277"/>
      <c r="F74" s="1201"/>
      <c r="G74" s="95"/>
      <c r="H74" s="95"/>
      <c r="I74" s="95"/>
      <c r="J74" s="95"/>
      <c r="K74" s="95"/>
      <c r="L74" s="95"/>
      <c r="M74" s="95"/>
      <c r="N74" s="95"/>
      <c r="O74" s="95"/>
      <c r="P74" s="95"/>
      <c r="Q74" s="95"/>
      <c r="R74" s="95"/>
      <c r="S74" s="95"/>
      <c r="T74" s="95"/>
      <c r="U74" s="95"/>
      <c r="V74" s="95"/>
      <c r="W74" s="95"/>
      <c r="AR74" s="44">
        <v>0</v>
      </c>
    </row>
    <row r="75" spans="1:44" ht="15" hidden="1" customHeight="1">
      <c r="E75" s="2475" t="s">
        <v>220</v>
      </c>
      <c r="F75" s="2475"/>
      <c r="G75" s="2475"/>
      <c r="H75" s="2475"/>
      <c r="I75" s="2475"/>
      <c r="J75" s="2475"/>
      <c r="K75" s="2475"/>
      <c r="L75" s="2475"/>
      <c r="M75" s="2475"/>
      <c r="N75" s="2475"/>
      <c r="O75" s="2475"/>
      <c r="P75" s="2475"/>
      <c r="Q75" s="2475"/>
      <c r="R75" s="2475"/>
      <c r="S75" s="2475"/>
      <c r="T75" s="2475"/>
      <c r="U75" s="2475"/>
      <c r="V75" s="2475"/>
      <c r="W75" s="2475"/>
      <c r="AR75" s="44">
        <v>0</v>
      </c>
    </row>
    <row r="76" spans="1:44" ht="17.25" hidden="1" customHeight="1">
      <c r="E76" s="2473" t="s">
        <v>221</v>
      </c>
      <c r="F76" s="2473"/>
      <c r="G76" s="2474"/>
      <c r="H76" s="2474"/>
      <c r="I76" s="2474"/>
      <c r="J76" s="2474"/>
      <c r="K76" s="2474"/>
      <c r="L76" s="2474"/>
      <c r="M76" s="2474"/>
      <c r="N76" s="2474"/>
      <c r="O76" s="2474"/>
      <c r="P76" s="2474"/>
      <c r="Q76" s="2474"/>
      <c r="R76" s="2474"/>
      <c r="S76" s="2474"/>
      <c r="T76" s="2474"/>
      <c r="U76" s="2474"/>
      <c r="V76" s="2474"/>
      <c r="W76" s="2474"/>
      <c r="AR76" s="44">
        <v>0</v>
      </c>
    </row>
    <row r="77" spans="1:44" ht="17.25" hidden="1" customHeight="1">
      <c r="E77" s="2473" t="s">
        <v>222</v>
      </c>
      <c r="F77" s="2473"/>
      <c r="G77" s="2474"/>
      <c r="H77" s="2474"/>
      <c r="I77" s="2474"/>
      <c r="J77" s="2474"/>
      <c r="K77" s="2474"/>
      <c r="L77" s="2474"/>
      <c r="M77" s="2474"/>
      <c r="N77" s="2474"/>
      <c r="O77" s="2474"/>
      <c r="P77" s="2474"/>
      <c r="Q77" s="2474"/>
      <c r="R77" s="2474"/>
      <c r="S77" s="2474"/>
      <c r="T77" s="2474"/>
      <c r="U77" s="2474"/>
      <c r="V77" s="2474"/>
      <c r="W77" s="2474"/>
      <c r="AR77" s="44">
        <v>0</v>
      </c>
    </row>
    <row r="78" spans="1:44" s="2380" customFormat="1" ht="11.25" hidden="1" customHeight="1">
      <c r="A78" s="214"/>
      <c r="B78" s="214"/>
      <c r="Y78" s="1175"/>
      <c r="Z78" s="1175"/>
      <c r="AA78" s="1175"/>
      <c r="AB78" s="1175"/>
      <c r="AC78" s="1175"/>
      <c r="AD78" s="1175"/>
      <c r="AE78" s="1175"/>
      <c r="AF78" s="1175"/>
      <c r="AG78" s="1175"/>
      <c r="AH78" s="1175"/>
      <c r="AI78" s="1175"/>
      <c r="AJ78" s="1175"/>
      <c r="AK78" s="1175"/>
      <c r="AL78" s="1175"/>
      <c r="AM78" s="1175"/>
      <c r="AN78" s="1175"/>
      <c r="AO78" s="1175"/>
      <c r="AP78" s="1175"/>
      <c r="AQ78" s="1175"/>
      <c r="AR78" s="1266">
        <v>0</v>
      </c>
    </row>
    <row r="79" spans="1:44" s="2380" customFormat="1" ht="17.25" hidden="1" customHeight="1">
      <c r="A79" s="258"/>
      <c r="C79" s="146"/>
      <c r="D79" s="2468">
        <v>1</v>
      </c>
      <c r="E79" s="2457" t="s">
        <v>223</v>
      </c>
      <c r="F79" s="2470" t="s">
        <v>19</v>
      </c>
      <c r="G79" s="2457"/>
      <c r="H79" s="2459"/>
      <c r="I79" s="2461"/>
      <c r="J79" s="2463"/>
      <c r="K79" s="2455"/>
      <c r="L79" s="2455"/>
      <c r="M79" s="2455"/>
      <c r="N79" s="2466"/>
      <c r="O79" s="2455"/>
      <c r="P79" s="2455"/>
      <c r="Q79" s="2455"/>
      <c r="R79" s="2453"/>
      <c r="S79" s="2455"/>
      <c r="T79" s="1386"/>
      <c r="U79" s="1386"/>
      <c r="V79" s="1388"/>
      <c r="W79" s="1212"/>
      <c r="Y79" s="1183"/>
      <c r="Z79" s="1183"/>
      <c r="AA79" s="1183"/>
      <c r="AB79" s="1183"/>
      <c r="AC79" s="1183" t="s">
        <v>224</v>
      </c>
      <c r="AD79" s="1183" t="s">
        <v>225</v>
      </c>
      <c r="AE79" s="1183" t="s">
        <v>226</v>
      </c>
      <c r="AF79" s="1183" t="s">
        <v>227</v>
      </c>
      <c r="AG79" s="1183"/>
      <c r="AH79" s="1183" t="str">
        <f>IF($E$79=0,"",$E$79)</f>
        <v>Тариф на питьевую воду (питьевое водоснабжение)</v>
      </c>
      <c r="AI79" s="1183" t="str">
        <f>IF($G$79=0,"",$G$79)</f>
        <v/>
      </c>
      <c r="AJ79" s="1183" t="str">
        <f>IF($J$79=0,"",$J$79)</f>
        <v/>
      </c>
      <c r="AK79" s="1183" t="str">
        <f>IF($K$79="нет","без дифференциации",IF($N$79=0,"",$N$79))</f>
        <v/>
      </c>
      <c r="AL79" s="1183" t="str">
        <f>IF($O$79="нет","без дифференциации",IF($R$79=0,"",$R$79))</f>
        <v/>
      </c>
      <c r="AM79" s="1183" t="str">
        <f>IF($S$79="нет","без дифференциации",IF($V$79=0,"",$V$79))</f>
        <v/>
      </c>
      <c r="AN79" s="1183">
        <f>$I$79</f>
        <v>0</v>
      </c>
      <c r="AO79" s="1183" t="str">
        <f>$I$79&amp;"."&amp;$M$79</f>
        <v>.</v>
      </c>
      <c r="AP79" s="1183" t="str">
        <f>$I$79&amp;"."&amp;$M$79&amp;"."&amp;$Q$79</f>
        <v>..</v>
      </c>
      <c r="AQ79" s="1183" t="str">
        <f>$I$79&amp;"."&amp;$M$79&amp;"."&amp;$Q$79&amp;"."&amp;$U$79</f>
        <v>...</v>
      </c>
      <c r="AR79" s="1266">
        <v>0</v>
      </c>
    </row>
    <row r="80" spans="1:44" s="2380" customFormat="1" ht="17.25" hidden="1" customHeight="1">
      <c r="A80" s="258"/>
      <c r="C80" s="257"/>
      <c r="D80" s="2468"/>
      <c r="E80" s="2457"/>
      <c r="F80" s="2471"/>
      <c r="G80" s="2457"/>
      <c r="H80" s="2460"/>
      <c r="I80" s="2462"/>
      <c r="J80" s="2464"/>
      <c r="K80" s="2456"/>
      <c r="L80" s="2456"/>
      <c r="M80" s="2456"/>
      <c r="N80" s="2467"/>
      <c r="O80" s="2456"/>
      <c r="P80" s="2456"/>
      <c r="Q80" s="2456"/>
      <c r="R80" s="2454"/>
      <c r="S80" s="2456"/>
      <c r="T80" s="1213"/>
      <c r="U80" s="1213"/>
      <c r="V80" s="1213"/>
      <c r="W80" s="1214"/>
      <c r="Y80" s="1175"/>
      <c r="Z80" s="1175"/>
      <c r="AA80" s="1175"/>
      <c r="AB80" s="1175"/>
      <c r="AC80" s="1175"/>
      <c r="AD80" s="1175"/>
      <c r="AE80" s="1175"/>
      <c r="AF80" s="1175"/>
      <c r="AG80" s="1175"/>
      <c r="AH80" s="1175"/>
      <c r="AI80" s="1175"/>
      <c r="AJ80" s="1175"/>
      <c r="AK80" s="1175"/>
      <c r="AL80" s="1175"/>
      <c r="AM80" s="1175"/>
      <c r="AN80" s="1175"/>
      <c r="AO80" s="1175"/>
      <c r="AP80" s="1175"/>
      <c r="AQ80" s="1175"/>
      <c r="AR80" s="1266">
        <v>0</v>
      </c>
    </row>
    <row r="81" spans="1:44" s="2380" customFormat="1" ht="17.25" hidden="1" customHeight="1">
      <c r="A81" s="258"/>
      <c r="C81" s="146"/>
      <c r="D81" s="2468"/>
      <c r="E81" s="2457"/>
      <c r="F81" s="2471"/>
      <c r="G81" s="2457"/>
      <c r="H81" s="2460"/>
      <c r="I81" s="2462"/>
      <c r="J81" s="2465"/>
      <c r="K81" s="2456"/>
      <c r="L81" s="2456"/>
      <c r="M81" s="2456"/>
      <c r="N81" s="2454"/>
      <c r="O81" s="2456"/>
      <c r="P81" s="1387"/>
      <c r="Q81" s="1213"/>
      <c r="R81" s="1213"/>
      <c r="S81" s="266"/>
      <c r="T81" s="266"/>
      <c r="U81" s="266"/>
      <c r="V81" s="266"/>
      <c r="W81" s="1214"/>
      <c r="Y81" s="1183"/>
      <c r="Z81" s="1183"/>
      <c r="AA81" s="1183"/>
      <c r="AB81" s="1183"/>
      <c r="AC81" s="1183"/>
      <c r="AD81" s="1183"/>
      <c r="AE81" s="1183"/>
      <c r="AF81" s="1183"/>
      <c r="AG81" s="1183"/>
      <c r="AH81" s="1183"/>
      <c r="AI81" s="1183"/>
      <c r="AJ81" s="1183"/>
      <c r="AK81" s="1183"/>
      <c r="AL81" s="1183"/>
      <c r="AM81" s="1183"/>
      <c r="AN81" s="1183"/>
      <c r="AO81" s="1183"/>
      <c r="AP81" s="1183"/>
      <c r="AQ81" s="1183"/>
      <c r="AR81" s="1357">
        <v>0</v>
      </c>
    </row>
    <row r="82" spans="1:44" s="2380" customFormat="1" ht="17.25" hidden="1" customHeight="1">
      <c r="A82" s="258"/>
      <c r="C82" s="257"/>
      <c r="D82" s="2468"/>
      <c r="E82" s="2457"/>
      <c r="F82" s="2471"/>
      <c r="G82" s="2457"/>
      <c r="H82" s="2460"/>
      <c r="I82" s="2462"/>
      <c r="J82" s="2465"/>
      <c r="K82" s="2456"/>
      <c r="L82" s="1213"/>
      <c r="M82" s="1213"/>
      <c r="N82" s="1213"/>
      <c r="O82" s="1213"/>
      <c r="P82" s="1213"/>
      <c r="Q82" s="1213"/>
      <c r="R82" s="1213"/>
      <c r="S82" s="266"/>
      <c r="T82" s="266"/>
      <c r="U82" s="266"/>
      <c r="V82" s="266"/>
      <c r="W82" s="1214"/>
      <c r="Y82" s="1175"/>
      <c r="Z82" s="1175"/>
      <c r="AA82" s="1175"/>
      <c r="AB82" s="1175"/>
      <c r="AC82" s="1175"/>
      <c r="AD82" s="1175"/>
      <c r="AE82" s="1175"/>
      <c r="AF82" s="1175"/>
      <c r="AG82" s="1175"/>
      <c r="AH82" s="1175"/>
      <c r="AI82" s="1175"/>
      <c r="AJ82" s="1175"/>
      <c r="AK82" s="1175"/>
      <c r="AL82" s="1175"/>
      <c r="AM82" s="1175"/>
      <c r="AN82" s="1175"/>
      <c r="AO82" s="1175"/>
      <c r="AP82" s="1175"/>
      <c r="AQ82" s="1175"/>
      <c r="AR82" s="1357">
        <v>0</v>
      </c>
    </row>
    <row r="83" spans="1:44" s="2380" customFormat="1" ht="17.25" hidden="1" customHeight="1">
      <c r="A83" s="258"/>
      <c r="C83" s="257"/>
      <c r="D83" s="2469"/>
      <c r="E83" s="2458"/>
      <c r="F83" s="2472"/>
      <c r="G83" s="2458"/>
      <c r="H83" s="1215"/>
      <c r="I83" s="1216"/>
      <c r="J83" s="1216"/>
      <c r="K83" s="1216"/>
      <c r="L83" s="1216"/>
      <c r="M83" s="1216"/>
      <c r="N83" s="1216"/>
      <c r="O83" s="1216"/>
      <c r="P83" s="1216"/>
      <c r="Q83" s="1216"/>
      <c r="R83" s="1216"/>
      <c r="S83" s="1217"/>
      <c r="T83" s="1217"/>
      <c r="U83" s="1217"/>
      <c r="V83" s="1217"/>
      <c r="W83" s="1218"/>
      <c r="Y83" s="1175"/>
      <c r="Z83" s="1175"/>
      <c r="AA83" s="1175"/>
      <c r="AB83" s="1175"/>
      <c r="AC83" s="1175"/>
      <c r="AD83" s="1175"/>
      <c r="AE83" s="1175"/>
      <c r="AF83" s="1175"/>
      <c r="AG83" s="1175"/>
      <c r="AH83" s="1175"/>
      <c r="AI83" s="1175"/>
      <c r="AJ83" s="1175"/>
      <c r="AK83" s="1175"/>
      <c r="AL83" s="1175"/>
      <c r="AM83" s="1175"/>
      <c r="AN83" s="1175"/>
      <c r="AO83" s="1175"/>
      <c r="AP83" s="1175"/>
      <c r="AQ83" s="1175"/>
      <c r="AR83" s="1266">
        <v>0</v>
      </c>
    </row>
    <row r="84" spans="1:44" s="2380" customFormat="1" ht="17.25" hidden="1" customHeight="1">
      <c r="A84" s="258"/>
      <c r="C84" s="146"/>
      <c r="D84" s="2468">
        <v>2</v>
      </c>
      <c r="E84" s="2457" t="s">
        <v>228</v>
      </c>
      <c r="F84" s="2470" t="s">
        <v>19</v>
      </c>
      <c r="G84" s="2457"/>
      <c r="H84" s="2459"/>
      <c r="I84" s="2461"/>
      <c r="J84" s="2463"/>
      <c r="K84" s="2455"/>
      <c r="L84" s="2455"/>
      <c r="M84" s="2455"/>
      <c r="N84" s="2466"/>
      <c r="O84" s="2455"/>
      <c r="P84" s="2455"/>
      <c r="Q84" s="2455"/>
      <c r="R84" s="2453"/>
      <c r="S84" s="2455"/>
      <c r="T84" s="1359"/>
      <c r="U84" s="1359"/>
      <c r="V84" s="1361"/>
      <c r="W84" s="1212"/>
      <c r="X84" s="1183"/>
      <c r="Y84" s="1183"/>
      <c r="Z84" s="1183"/>
      <c r="AA84" s="1183"/>
      <c r="AB84" s="1183"/>
      <c r="AC84" s="1183" t="s">
        <v>229</v>
      </c>
      <c r="AD84" s="1183" t="s">
        <v>230</v>
      </c>
      <c r="AE84" s="1183" t="s">
        <v>231</v>
      </c>
      <c r="AF84" s="1183" t="s">
        <v>232</v>
      </c>
      <c r="AG84" s="1183"/>
      <c r="AH84" s="1183" t="str">
        <f>IF($E$84=0,"",$E$84)</f>
        <v>Тариф на техническую воду</v>
      </c>
      <c r="AI84" s="1183" t="str">
        <f>IF($G$84=0,"",$G$84)</f>
        <v/>
      </c>
      <c r="AJ84" s="1183" t="str">
        <f>IF($J$84=0,"",$J$84)</f>
        <v/>
      </c>
      <c r="AK84" s="1183" t="str">
        <f>IF($K$84="нет","без дифференциации",IF($N$84=0,"",$N$84))</f>
        <v/>
      </c>
      <c r="AL84" s="1183" t="str">
        <f>IF($O$84="нет","без дифференциации",IF($R$84=0,"",$R$84))</f>
        <v/>
      </c>
      <c r="AM84" s="1183" t="str">
        <f>IF($S$84="нет","без дифференциации",IF($V$84=0,"",$V$84))</f>
        <v/>
      </c>
      <c r="AN84" s="1687">
        <f>$I$84</f>
        <v>0</v>
      </c>
      <c r="AO84" s="1183" t="str">
        <f>$I$84&amp;"."&amp;$M$84</f>
        <v>.</v>
      </c>
      <c r="AP84" s="1175" t="str">
        <f>$I$84&amp;"."&amp;$M$84&amp;"."&amp;$Q$84</f>
        <v>..</v>
      </c>
      <c r="AQ84" s="1175" t="str">
        <f>$I$84&amp;"."&amp;$M$84&amp;"."&amp;$Q$84&amp;"."&amp;$U$84</f>
        <v>...</v>
      </c>
      <c r="AR84" s="1266">
        <v>0</v>
      </c>
    </row>
    <row r="85" spans="1:44" s="2380" customFormat="1" ht="17.25" hidden="1" customHeight="1">
      <c r="A85" s="258"/>
      <c r="C85" s="257"/>
      <c r="D85" s="2468"/>
      <c r="E85" s="2457"/>
      <c r="F85" s="2471"/>
      <c r="G85" s="2457"/>
      <c r="H85" s="2460"/>
      <c r="I85" s="2462"/>
      <c r="J85" s="2464"/>
      <c r="K85" s="2456"/>
      <c r="L85" s="2456"/>
      <c r="M85" s="2456"/>
      <c r="N85" s="2467"/>
      <c r="O85" s="2456"/>
      <c r="P85" s="2456"/>
      <c r="Q85" s="2456"/>
      <c r="R85" s="2454"/>
      <c r="S85" s="2456"/>
      <c r="T85" s="1213"/>
      <c r="U85" s="1213"/>
      <c r="V85" s="1213"/>
      <c r="W85" s="1214"/>
      <c r="X85" s="1175"/>
      <c r="Y85" s="1175"/>
      <c r="Z85" s="1175"/>
      <c r="AA85" s="1175"/>
      <c r="AB85" s="1175"/>
      <c r="AC85" s="1175"/>
      <c r="AD85" s="1175"/>
      <c r="AE85" s="1175"/>
      <c r="AF85" s="1175"/>
      <c r="AG85" s="1175"/>
      <c r="AH85" s="1175"/>
      <c r="AI85" s="1175"/>
      <c r="AJ85" s="1175"/>
      <c r="AK85" s="1175"/>
      <c r="AL85" s="1175"/>
      <c r="AM85" s="1175"/>
      <c r="AN85" s="1175"/>
      <c r="AO85" s="1175"/>
      <c r="AP85" s="1175"/>
      <c r="AQ85" s="1175"/>
      <c r="AR85" s="1266">
        <v>0</v>
      </c>
    </row>
    <row r="86" spans="1:44" s="2380" customFormat="1" ht="17.25" hidden="1" customHeight="1">
      <c r="A86" s="258"/>
      <c r="C86" s="257"/>
      <c r="D86" s="2469"/>
      <c r="E86" s="2458"/>
      <c r="F86" s="2471"/>
      <c r="G86" s="2458"/>
      <c r="H86" s="2460"/>
      <c r="I86" s="2462"/>
      <c r="J86" s="2465"/>
      <c r="K86" s="2456"/>
      <c r="L86" s="2456"/>
      <c r="M86" s="2456"/>
      <c r="N86" s="2454"/>
      <c r="O86" s="2456"/>
      <c r="P86" s="1360"/>
      <c r="Q86" s="1213"/>
      <c r="R86" s="1213"/>
      <c r="S86" s="266"/>
      <c r="T86" s="266"/>
      <c r="U86" s="266"/>
      <c r="V86" s="266"/>
      <c r="W86" s="1214"/>
      <c r="X86" s="1175"/>
      <c r="Y86" s="1175"/>
      <c r="Z86" s="1175"/>
      <c r="AA86" s="1175"/>
      <c r="AB86" s="1175"/>
      <c r="AC86" s="1175"/>
      <c r="AD86" s="1175"/>
      <c r="AE86" s="1175"/>
      <c r="AF86" s="1175"/>
      <c r="AG86" s="1175"/>
      <c r="AH86" s="1175"/>
      <c r="AI86" s="1175"/>
      <c r="AJ86" s="1175"/>
      <c r="AK86" s="1175"/>
      <c r="AL86" s="1175"/>
      <c r="AM86" s="1175"/>
      <c r="AN86" s="1175"/>
      <c r="AO86" s="1175"/>
      <c r="AP86" s="1175"/>
      <c r="AQ86" s="1175"/>
      <c r="AR86" s="1266">
        <v>0</v>
      </c>
    </row>
    <row r="87" spans="1:44" s="2380" customFormat="1" ht="17.25" hidden="1" customHeight="1">
      <c r="A87" s="258"/>
      <c r="C87" s="257"/>
      <c r="D87" s="2469"/>
      <c r="E87" s="2458"/>
      <c r="F87" s="2471"/>
      <c r="G87" s="2458"/>
      <c r="H87" s="2460"/>
      <c r="I87" s="2462"/>
      <c r="J87" s="2465"/>
      <c r="K87" s="2456"/>
      <c r="L87" s="1213"/>
      <c r="M87" s="1213"/>
      <c r="N87" s="1213"/>
      <c r="O87" s="1213"/>
      <c r="P87" s="1213"/>
      <c r="Q87" s="1213"/>
      <c r="R87" s="1213"/>
      <c r="S87" s="266"/>
      <c r="T87" s="266"/>
      <c r="U87" s="266"/>
      <c r="V87" s="266"/>
      <c r="W87" s="1214"/>
      <c r="X87" s="1175"/>
      <c r="Y87" s="1175"/>
      <c r="Z87" s="1175"/>
      <c r="AA87" s="1175"/>
      <c r="AB87" s="1175"/>
      <c r="AC87" s="1175"/>
      <c r="AD87" s="1175"/>
      <c r="AE87" s="1175"/>
      <c r="AF87" s="1175"/>
      <c r="AG87" s="1175"/>
      <c r="AH87" s="1175"/>
      <c r="AI87" s="1175"/>
      <c r="AJ87" s="1175"/>
      <c r="AK87" s="1175"/>
      <c r="AL87" s="1175"/>
      <c r="AM87" s="1175"/>
      <c r="AN87" s="1175"/>
      <c r="AO87" s="1175"/>
      <c r="AP87" s="1175"/>
      <c r="AQ87" s="1175"/>
      <c r="AR87" s="1266">
        <v>0</v>
      </c>
    </row>
    <row r="88" spans="1:44" s="2380" customFormat="1" ht="17.25" hidden="1" customHeight="1">
      <c r="A88" s="258"/>
      <c r="C88" s="257"/>
      <c r="D88" s="2469"/>
      <c r="E88" s="2458"/>
      <c r="F88" s="2472"/>
      <c r="G88" s="2458"/>
      <c r="H88" s="1215"/>
      <c r="I88" s="1216"/>
      <c r="J88" s="1216"/>
      <c r="K88" s="1216"/>
      <c r="L88" s="1216"/>
      <c r="M88" s="1216"/>
      <c r="N88" s="1216"/>
      <c r="O88" s="1216"/>
      <c r="P88" s="1216"/>
      <c r="Q88" s="1216"/>
      <c r="R88" s="1216"/>
      <c r="S88" s="1217"/>
      <c r="T88" s="1217"/>
      <c r="U88" s="1217"/>
      <c r="V88" s="1217"/>
      <c r="W88" s="1218"/>
      <c r="X88" s="1175"/>
      <c r="Y88" s="1175"/>
      <c r="Z88" s="1175"/>
      <c r="AA88" s="1175"/>
      <c r="AB88" s="1175"/>
      <c r="AC88" s="1175"/>
      <c r="AD88" s="1175"/>
      <c r="AE88" s="1175"/>
      <c r="AF88" s="1175"/>
      <c r="AG88" s="1175"/>
      <c r="AH88" s="1175"/>
      <c r="AI88" s="1175"/>
      <c r="AJ88" s="1175"/>
      <c r="AK88" s="1175"/>
      <c r="AL88" s="1175"/>
      <c r="AM88" s="1175"/>
      <c r="AN88" s="1175"/>
      <c r="AO88" s="1175"/>
      <c r="AP88" s="1175"/>
      <c r="AQ88" s="1175"/>
      <c r="AR88" s="1266">
        <v>0</v>
      </c>
    </row>
    <row r="89" spans="1:44" s="2380" customFormat="1" ht="17.25" hidden="1" customHeight="1">
      <c r="A89" s="258"/>
      <c r="C89" s="146"/>
      <c r="D89" s="2468">
        <v>3</v>
      </c>
      <c r="E89" s="2457" t="s">
        <v>233</v>
      </c>
      <c r="F89" s="2470" t="s">
        <v>19</v>
      </c>
      <c r="G89" s="2457"/>
      <c r="H89" s="2459"/>
      <c r="I89" s="2461"/>
      <c r="J89" s="2463"/>
      <c r="K89" s="2455"/>
      <c r="L89" s="2455"/>
      <c r="M89" s="2455"/>
      <c r="N89" s="2466"/>
      <c r="O89" s="2455"/>
      <c r="P89" s="2455"/>
      <c r="Q89" s="2455"/>
      <c r="R89" s="2453"/>
      <c r="S89" s="2455"/>
      <c r="T89" s="1359"/>
      <c r="U89" s="1359"/>
      <c r="V89" s="1361"/>
      <c r="W89" s="1212"/>
      <c r="X89" s="1183"/>
      <c r="Y89" s="1183"/>
      <c r="Z89" s="1183"/>
      <c r="AA89" s="1183"/>
      <c r="AB89" s="1183"/>
      <c r="AC89" s="1183" t="s">
        <v>234</v>
      </c>
      <c r="AD89" s="1183" t="s">
        <v>235</v>
      </c>
      <c r="AE89" s="1183" t="s">
        <v>236</v>
      </c>
      <c r="AF89" s="1183" t="s">
        <v>237</v>
      </c>
      <c r="AG89" s="1183"/>
      <c r="AH89" s="1183" t="str">
        <f>IF($E$89=0,"",$E$89)</f>
        <v>Тариф на транспортировку воды</v>
      </c>
      <c r="AI89" s="1183" t="str">
        <f>IF($G$89=0,"",$G$89)</f>
        <v/>
      </c>
      <c r="AJ89" s="1183" t="str">
        <f>IF($J$89=0,"",$J$89)</f>
        <v/>
      </c>
      <c r="AK89" s="1183" t="str">
        <f>IF($K$89="нет","без дифференциации",IF($N$89=0,"",$N$89))</f>
        <v/>
      </c>
      <c r="AL89" s="1183" t="str">
        <f>IF($O$89="нет","без дифференциации",IF($R$89=0,"",$R$89))</f>
        <v/>
      </c>
      <c r="AM89" s="1183" t="str">
        <f>IF($S$89="нет","без дифференциации",IF($V$89=0,"",$V$89))</f>
        <v/>
      </c>
      <c r="AN89" s="1687">
        <f>$I$89</f>
        <v>0</v>
      </c>
      <c r="AO89" s="1183" t="str">
        <f>$I$89&amp;"."&amp;$M$89</f>
        <v>.</v>
      </c>
      <c r="AP89" s="1175" t="str">
        <f>$I$89&amp;"."&amp;$M$89&amp;"."&amp;$Q$89</f>
        <v>..</v>
      </c>
      <c r="AQ89" s="1175" t="str">
        <f>$I$89&amp;"."&amp;$M$89&amp;"."&amp;$Q$89&amp;"."&amp;$U$89</f>
        <v>...</v>
      </c>
      <c r="AR89" s="1266">
        <v>0</v>
      </c>
    </row>
    <row r="90" spans="1:44" s="2380" customFormat="1" ht="17.25" hidden="1" customHeight="1">
      <c r="A90" s="258"/>
      <c r="C90" s="257"/>
      <c r="D90" s="2468"/>
      <c r="E90" s="2457"/>
      <c r="F90" s="2471"/>
      <c r="G90" s="2457"/>
      <c r="H90" s="2460"/>
      <c r="I90" s="2462"/>
      <c r="J90" s="2464"/>
      <c r="K90" s="2456"/>
      <c r="L90" s="2456"/>
      <c r="M90" s="2456"/>
      <c r="N90" s="2467"/>
      <c r="O90" s="2456"/>
      <c r="P90" s="2456"/>
      <c r="Q90" s="2456"/>
      <c r="R90" s="2454"/>
      <c r="S90" s="2456"/>
      <c r="T90" s="1213"/>
      <c r="U90" s="1213"/>
      <c r="V90" s="1213"/>
      <c r="W90" s="1214"/>
      <c r="X90" s="1175"/>
      <c r="Y90" s="1175"/>
      <c r="Z90" s="1175"/>
      <c r="AA90" s="1175"/>
      <c r="AB90" s="1175"/>
      <c r="AC90" s="1175"/>
      <c r="AD90" s="1175"/>
      <c r="AE90" s="1175"/>
      <c r="AF90" s="1175"/>
      <c r="AG90" s="1175"/>
      <c r="AH90" s="1175"/>
      <c r="AI90" s="1175"/>
      <c r="AJ90" s="1175"/>
      <c r="AK90" s="1175"/>
      <c r="AL90" s="1175"/>
      <c r="AM90" s="1175"/>
      <c r="AN90" s="1175"/>
      <c r="AO90" s="1175"/>
      <c r="AP90" s="1175"/>
      <c r="AQ90" s="1175"/>
      <c r="AR90" s="1266">
        <v>0</v>
      </c>
    </row>
    <row r="91" spans="1:44" s="2380" customFormat="1" ht="17.25" hidden="1" customHeight="1">
      <c r="A91" s="258"/>
      <c r="C91" s="257"/>
      <c r="D91" s="2469"/>
      <c r="E91" s="2458"/>
      <c r="F91" s="2471"/>
      <c r="G91" s="2458"/>
      <c r="H91" s="2460"/>
      <c r="I91" s="2462"/>
      <c r="J91" s="2465"/>
      <c r="K91" s="2456"/>
      <c r="L91" s="2456"/>
      <c r="M91" s="2456"/>
      <c r="N91" s="2454"/>
      <c r="O91" s="2456"/>
      <c r="P91" s="1360"/>
      <c r="Q91" s="1213"/>
      <c r="R91" s="1213"/>
      <c r="S91" s="266"/>
      <c r="T91" s="266"/>
      <c r="U91" s="266"/>
      <c r="V91" s="266"/>
      <c r="W91" s="1214"/>
      <c r="X91" s="1175"/>
      <c r="Y91" s="1175"/>
      <c r="Z91" s="1175"/>
      <c r="AA91" s="1175"/>
      <c r="AB91" s="1175"/>
      <c r="AC91" s="1175"/>
      <c r="AD91" s="1175"/>
      <c r="AE91" s="1175"/>
      <c r="AF91" s="1175"/>
      <c r="AG91" s="1175"/>
      <c r="AH91" s="1175"/>
      <c r="AI91" s="1175"/>
      <c r="AJ91" s="1175"/>
      <c r="AK91" s="1175"/>
      <c r="AL91" s="1175"/>
      <c r="AM91" s="1175"/>
      <c r="AN91" s="1175"/>
      <c r="AO91" s="1175"/>
      <c r="AP91" s="1175"/>
      <c r="AQ91" s="1175"/>
      <c r="AR91" s="1266">
        <v>0</v>
      </c>
    </row>
    <row r="92" spans="1:44" s="2380" customFormat="1" ht="17.25" hidden="1" customHeight="1">
      <c r="A92" s="258"/>
      <c r="C92" s="257"/>
      <c r="D92" s="2469"/>
      <c r="E92" s="2458"/>
      <c r="F92" s="2471"/>
      <c r="G92" s="2458"/>
      <c r="H92" s="2460"/>
      <c r="I92" s="2462"/>
      <c r="J92" s="2465"/>
      <c r="K92" s="2456"/>
      <c r="L92" s="1213"/>
      <c r="M92" s="1213"/>
      <c r="N92" s="1213"/>
      <c r="O92" s="1213"/>
      <c r="P92" s="1213"/>
      <c r="Q92" s="1213"/>
      <c r="R92" s="1213"/>
      <c r="S92" s="266"/>
      <c r="T92" s="266"/>
      <c r="U92" s="266"/>
      <c r="V92" s="266"/>
      <c r="W92" s="1214"/>
      <c r="X92" s="1175"/>
      <c r="Y92" s="1175"/>
      <c r="Z92" s="1175"/>
      <c r="AA92" s="1175"/>
      <c r="AB92" s="1175"/>
      <c r="AC92" s="1175"/>
      <c r="AD92" s="1175"/>
      <c r="AE92" s="1175"/>
      <c r="AF92" s="1175"/>
      <c r="AG92" s="1175"/>
      <c r="AH92" s="1175"/>
      <c r="AI92" s="1175"/>
      <c r="AJ92" s="1175"/>
      <c r="AK92" s="1175"/>
      <c r="AL92" s="1175"/>
      <c r="AM92" s="1175"/>
      <c r="AN92" s="1175"/>
      <c r="AO92" s="1175"/>
      <c r="AP92" s="1175"/>
      <c r="AQ92" s="1175"/>
      <c r="AR92" s="1266">
        <v>0</v>
      </c>
    </row>
    <row r="93" spans="1:44" s="2380" customFormat="1" ht="17.25" hidden="1" customHeight="1">
      <c r="A93" s="258"/>
      <c r="C93" s="257"/>
      <c r="D93" s="2469"/>
      <c r="E93" s="2458"/>
      <c r="F93" s="2472"/>
      <c r="G93" s="2458"/>
      <c r="H93" s="1215"/>
      <c r="I93" s="1216"/>
      <c r="J93" s="1216"/>
      <c r="K93" s="1216"/>
      <c r="L93" s="1216"/>
      <c r="M93" s="1216"/>
      <c r="N93" s="1216"/>
      <c r="O93" s="1216"/>
      <c r="P93" s="1216"/>
      <c r="Q93" s="1216"/>
      <c r="R93" s="1216"/>
      <c r="S93" s="1217"/>
      <c r="T93" s="1217"/>
      <c r="U93" s="1217"/>
      <c r="V93" s="1217"/>
      <c r="W93" s="1218"/>
      <c r="X93" s="1175"/>
      <c r="Y93" s="1175"/>
      <c r="Z93" s="1175"/>
      <c r="AA93" s="1175"/>
      <c r="AB93" s="1175"/>
      <c r="AC93" s="1175"/>
      <c r="AD93" s="1175"/>
      <c r="AE93" s="1175"/>
      <c r="AF93" s="1175"/>
      <c r="AG93" s="1175"/>
      <c r="AH93" s="1175"/>
      <c r="AI93" s="1175"/>
      <c r="AJ93" s="1175"/>
      <c r="AK93" s="1175"/>
      <c r="AL93" s="1175"/>
      <c r="AM93" s="1175"/>
      <c r="AN93" s="1175"/>
      <c r="AO93" s="1175"/>
      <c r="AP93" s="1175"/>
      <c r="AQ93" s="1175"/>
      <c r="AR93" s="1266">
        <v>0</v>
      </c>
    </row>
    <row r="94" spans="1:44" s="2380" customFormat="1" ht="17.25" hidden="1" customHeight="1">
      <c r="A94" s="258"/>
      <c r="C94" s="146"/>
      <c r="D94" s="2468">
        <v>4</v>
      </c>
      <c r="E94" s="2457" t="s">
        <v>238</v>
      </c>
      <c r="F94" s="2470" t="s">
        <v>19</v>
      </c>
      <c r="G94" s="2457"/>
      <c r="H94" s="2459"/>
      <c r="I94" s="2461"/>
      <c r="J94" s="2463"/>
      <c r="K94" s="2455"/>
      <c r="L94" s="2455"/>
      <c r="M94" s="2455"/>
      <c r="N94" s="2466"/>
      <c r="O94" s="2455"/>
      <c r="P94" s="2455"/>
      <c r="Q94" s="2455"/>
      <c r="R94" s="2453"/>
      <c r="S94" s="2455"/>
      <c r="T94" s="1359"/>
      <c r="U94" s="1359"/>
      <c r="V94" s="1361"/>
      <c r="W94" s="1212"/>
      <c r="X94" s="1183"/>
      <c r="Y94" s="1183"/>
      <c r="Z94" s="1183"/>
      <c r="AA94" s="1183"/>
      <c r="AB94" s="1183"/>
      <c r="AC94" s="1183" t="s">
        <v>239</v>
      </c>
      <c r="AD94" s="1183" t="s">
        <v>240</v>
      </c>
      <c r="AE94" s="1183" t="s">
        <v>241</v>
      </c>
      <c r="AF94" s="1183" t="s">
        <v>242</v>
      </c>
      <c r="AG94" s="1183"/>
      <c r="AH94" s="1183" t="str">
        <f>IF($E$94=0,"",$E$94)</f>
        <v>Тариф на подвоз воды</v>
      </c>
      <c r="AI94" s="1183" t="str">
        <f>IF($G$94=0,"",$G$94)</f>
        <v/>
      </c>
      <c r="AJ94" s="1183" t="str">
        <f>IF($J$94=0,"",$J$94)</f>
        <v/>
      </c>
      <c r="AK94" s="1183" t="str">
        <f>IF($K$94="нет","без дифференциации",IF($N$94=0,"",$N$94))</f>
        <v/>
      </c>
      <c r="AL94" s="1183" t="str">
        <f>IF($O$94="нет","без дифференциации",IF($R$94=0,"",$R$94))</f>
        <v/>
      </c>
      <c r="AM94" s="1183" t="str">
        <f>IF($S$94="нет","без дифференциации",IF($V$94=0,"",$V$94))</f>
        <v/>
      </c>
      <c r="AN94" s="1687">
        <f>$I$94</f>
        <v>0</v>
      </c>
      <c r="AO94" s="1183" t="str">
        <f>$I$94&amp;"."&amp;$M$94</f>
        <v>.</v>
      </c>
      <c r="AP94" s="1175" t="str">
        <f>$I$94&amp;"."&amp;$M$94&amp;"."&amp;$Q$94</f>
        <v>..</v>
      </c>
      <c r="AQ94" s="1175" t="str">
        <f>$I$94&amp;"."&amp;$M$94&amp;"."&amp;$Q$94&amp;"."&amp;$U$94</f>
        <v>...</v>
      </c>
      <c r="AR94" s="1266">
        <v>0</v>
      </c>
    </row>
    <row r="95" spans="1:44" s="2380" customFormat="1" ht="17.25" hidden="1" customHeight="1">
      <c r="A95" s="258"/>
      <c r="C95" s="257"/>
      <c r="D95" s="2468"/>
      <c r="E95" s="2457"/>
      <c r="F95" s="2471"/>
      <c r="G95" s="2457"/>
      <c r="H95" s="2460"/>
      <c r="I95" s="2462"/>
      <c r="J95" s="2464"/>
      <c r="K95" s="2456"/>
      <c r="L95" s="2456"/>
      <c r="M95" s="2456"/>
      <c r="N95" s="2467"/>
      <c r="O95" s="2456"/>
      <c r="P95" s="2456"/>
      <c r="Q95" s="2456"/>
      <c r="R95" s="2454"/>
      <c r="S95" s="2456"/>
      <c r="T95" s="1213"/>
      <c r="U95" s="1213"/>
      <c r="V95" s="1213"/>
      <c r="W95" s="1214"/>
      <c r="X95" s="1175"/>
      <c r="Y95" s="1175"/>
      <c r="Z95" s="1175"/>
      <c r="AA95" s="1175"/>
      <c r="AB95" s="1175"/>
      <c r="AC95" s="1175"/>
      <c r="AD95" s="1175"/>
      <c r="AE95" s="1175"/>
      <c r="AF95" s="1175"/>
      <c r="AG95" s="1175"/>
      <c r="AH95" s="1175"/>
      <c r="AI95" s="1175"/>
      <c r="AJ95" s="1175"/>
      <c r="AK95" s="1175"/>
      <c r="AL95" s="1175"/>
      <c r="AM95" s="1175"/>
      <c r="AN95" s="1175"/>
      <c r="AO95" s="1175"/>
      <c r="AP95" s="1175"/>
      <c r="AQ95" s="1175"/>
      <c r="AR95" s="1266">
        <v>0</v>
      </c>
    </row>
    <row r="96" spans="1:44" s="2380" customFormat="1" ht="17.25" hidden="1" customHeight="1">
      <c r="A96" s="258"/>
      <c r="C96" s="257"/>
      <c r="D96" s="2469"/>
      <c r="E96" s="2458"/>
      <c r="F96" s="2471"/>
      <c r="G96" s="2458"/>
      <c r="H96" s="2460"/>
      <c r="I96" s="2462"/>
      <c r="J96" s="2465"/>
      <c r="K96" s="2456"/>
      <c r="L96" s="2456"/>
      <c r="M96" s="2456"/>
      <c r="N96" s="2454"/>
      <c r="O96" s="2456"/>
      <c r="P96" s="1360"/>
      <c r="Q96" s="1213"/>
      <c r="R96" s="1213"/>
      <c r="S96" s="266"/>
      <c r="T96" s="266"/>
      <c r="U96" s="266"/>
      <c r="V96" s="266"/>
      <c r="W96" s="1214"/>
      <c r="X96" s="1175"/>
      <c r="Y96" s="1175"/>
      <c r="Z96" s="1175"/>
      <c r="AA96" s="1175"/>
      <c r="AB96" s="1175"/>
      <c r="AC96" s="1175"/>
      <c r="AD96" s="1175"/>
      <c r="AE96" s="1175"/>
      <c r="AF96" s="1175"/>
      <c r="AG96" s="1175"/>
      <c r="AH96" s="1175"/>
      <c r="AI96" s="1175"/>
      <c r="AJ96" s="1175"/>
      <c r="AK96" s="1175"/>
      <c r="AL96" s="1175"/>
      <c r="AM96" s="1175"/>
      <c r="AN96" s="1175"/>
      <c r="AO96" s="1175"/>
      <c r="AP96" s="1175"/>
      <c r="AQ96" s="1175"/>
      <c r="AR96" s="1266">
        <v>0</v>
      </c>
    </row>
    <row r="97" spans="1:44" s="2380" customFormat="1" ht="17.25" hidden="1" customHeight="1">
      <c r="A97" s="258"/>
      <c r="C97" s="257"/>
      <c r="D97" s="2469"/>
      <c r="E97" s="2458"/>
      <c r="F97" s="2471"/>
      <c r="G97" s="2458"/>
      <c r="H97" s="2460"/>
      <c r="I97" s="2462"/>
      <c r="J97" s="2465"/>
      <c r="K97" s="2456"/>
      <c r="L97" s="1213"/>
      <c r="M97" s="1213"/>
      <c r="N97" s="1213"/>
      <c r="O97" s="1213"/>
      <c r="P97" s="1213"/>
      <c r="Q97" s="1213"/>
      <c r="R97" s="1213"/>
      <c r="S97" s="266"/>
      <c r="T97" s="266"/>
      <c r="U97" s="266"/>
      <c r="V97" s="266"/>
      <c r="W97" s="1214"/>
      <c r="X97" s="1175"/>
      <c r="Y97" s="1175"/>
      <c r="Z97" s="1175"/>
      <c r="AA97" s="1175"/>
      <c r="AB97" s="1175"/>
      <c r="AC97" s="1175"/>
      <c r="AD97" s="1175"/>
      <c r="AE97" s="1175"/>
      <c r="AF97" s="1175"/>
      <c r="AG97" s="1175"/>
      <c r="AH97" s="1175"/>
      <c r="AI97" s="1175"/>
      <c r="AJ97" s="1175"/>
      <c r="AK97" s="1175"/>
      <c r="AL97" s="1175"/>
      <c r="AM97" s="1175"/>
      <c r="AN97" s="1175"/>
      <c r="AO97" s="1175"/>
      <c r="AP97" s="1175"/>
      <c r="AQ97" s="1175"/>
      <c r="AR97" s="1266">
        <v>0</v>
      </c>
    </row>
    <row r="98" spans="1:44" s="2380" customFormat="1" ht="17.25" hidden="1" customHeight="1">
      <c r="A98" s="258"/>
      <c r="C98" s="257"/>
      <c r="D98" s="2469"/>
      <c r="E98" s="2458"/>
      <c r="F98" s="2472"/>
      <c r="G98" s="2458"/>
      <c r="H98" s="1215"/>
      <c r="I98" s="1216"/>
      <c r="J98" s="1216"/>
      <c r="K98" s="1216"/>
      <c r="L98" s="1216"/>
      <c r="M98" s="1216"/>
      <c r="N98" s="1216"/>
      <c r="O98" s="1216"/>
      <c r="P98" s="1216"/>
      <c r="Q98" s="1216"/>
      <c r="R98" s="1216"/>
      <c r="S98" s="1217"/>
      <c r="T98" s="1217"/>
      <c r="U98" s="1217"/>
      <c r="V98" s="1217"/>
      <c r="W98" s="1218"/>
      <c r="X98" s="1175"/>
      <c r="Y98" s="1175"/>
      <c r="Z98" s="1175"/>
      <c r="AA98" s="1175"/>
      <c r="AB98" s="1175"/>
      <c r="AC98" s="1175"/>
      <c r="AD98" s="1175"/>
      <c r="AE98" s="1175"/>
      <c r="AF98" s="1175"/>
      <c r="AG98" s="1175"/>
      <c r="AH98" s="1175"/>
      <c r="AI98" s="1175"/>
      <c r="AJ98" s="1175"/>
      <c r="AK98" s="1175"/>
      <c r="AL98" s="1175"/>
      <c r="AM98" s="1175"/>
      <c r="AN98" s="1175"/>
      <c r="AO98" s="1175"/>
      <c r="AP98" s="1175"/>
      <c r="AQ98" s="1175"/>
      <c r="AR98" s="1266">
        <v>0</v>
      </c>
    </row>
    <row r="99" spans="1:44" s="2380" customFormat="1" ht="17.25" hidden="1" customHeight="1">
      <c r="A99" s="258"/>
      <c r="C99" s="146"/>
      <c r="D99" s="2468">
        <v>5</v>
      </c>
      <c r="E99" s="2457" t="s">
        <v>243</v>
      </c>
      <c r="F99" s="2470" t="s">
        <v>19</v>
      </c>
      <c r="G99" s="2457"/>
      <c r="H99" s="2459"/>
      <c r="I99" s="2461"/>
      <c r="J99" s="2463"/>
      <c r="K99" s="2455"/>
      <c r="L99" s="2455"/>
      <c r="M99" s="2455"/>
      <c r="N99" s="2466"/>
      <c r="O99" s="2455"/>
      <c r="P99" s="2455"/>
      <c r="Q99" s="2455"/>
      <c r="R99" s="2453"/>
      <c r="S99" s="2455"/>
      <c r="T99" s="1852"/>
      <c r="U99" s="1852"/>
      <c r="V99" s="1854"/>
      <c r="W99" s="1212"/>
      <c r="X99" s="1183"/>
      <c r="Y99" s="1183"/>
      <c r="Z99" s="1183"/>
      <c r="AA99" s="1183"/>
      <c r="AB99" s="1183"/>
      <c r="AC99" s="1183" t="s">
        <v>244</v>
      </c>
      <c r="AD99" s="1183" t="s">
        <v>245</v>
      </c>
      <c r="AE99" s="1183" t="s">
        <v>246</v>
      </c>
      <c r="AF99" s="1183" t="s">
        <v>247</v>
      </c>
      <c r="AG99" s="1183"/>
      <c r="AH99" s="1183" t="str">
        <f>IF($E$99=0,"",$E$99)</f>
        <v>Тариф на подключение (технологическое присоединение) к централизованной системе холодного водоснабжения</v>
      </c>
      <c r="AI99" s="1183" t="str">
        <f>IF($G$99=0,"",$G$99)</f>
        <v/>
      </c>
      <c r="AJ99" s="1183" t="str">
        <f>IF($J$99=0,"",$J$99)</f>
        <v/>
      </c>
      <c r="AK99" s="1183" t="str">
        <f>IF($K$99="нет","без дифференциации",IF($N$99=0,"",$N$99))</f>
        <v/>
      </c>
      <c r="AL99" s="1183" t="str">
        <f>IF($O$99="нет","без дифференциации",IF($R$99=0,"",$R$99))</f>
        <v/>
      </c>
      <c r="AM99" s="1183" t="str">
        <f>IF($S$99="нет","без дифференциации",IF($V$99=0,"",$V$99))</f>
        <v/>
      </c>
      <c r="AN99" s="1687">
        <f>$I$99</f>
        <v>0</v>
      </c>
      <c r="AO99" s="1183" t="str">
        <f>$I$99&amp;"."&amp;$M$99</f>
        <v>.</v>
      </c>
      <c r="AP99" s="1182" t="str">
        <f>$I$99&amp;"."&amp;$M$99&amp;"."&amp;$Q$99</f>
        <v>..</v>
      </c>
      <c r="AQ99" s="1182" t="str">
        <f>$I$99&amp;"."&amp;$M$99&amp;"."&amp;$Q$99&amp;"."&amp;$U$99</f>
        <v>...</v>
      </c>
      <c r="AR99" s="1383">
        <v>0</v>
      </c>
    </row>
    <row r="100" spans="1:44" s="2380" customFormat="1" ht="17.25" hidden="1" customHeight="1">
      <c r="A100" s="258"/>
      <c r="C100" s="257"/>
      <c r="D100" s="2468"/>
      <c r="E100" s="2457"/>
      <c r="F100" s="2471"/>
      <c r="G100" s="2457"/>
      <c r="H100" s="2460"/>
      <c r="I100" s="2462"/>
      <c r="J100" s="2464"/>
      <c r="K100" s="2456"/>
      <c r="L100" s="2456"/>
      <c r="M100" s="2456"/>
      <c r="N100" s="2467"/>
      <c r="O100" s="2456"/>
      <c r="P100" s="2456"/>
      <c r="Q100" s="2456"/>
      <c r="R100" s="2454"/>
      <c r="S100" s="2456"/>
      <c r="T100" s="1857"/>
      <c r="U100" s="1857"/>
      <c r="V100" s="1857"/>
      <c r="W100" s="1858"/>
      <c r="X100" s="1182"/>
      <c r="Y100" s="1182"/>
      <c r="Z100" s="1182"/>
      <c r="AA100" s="1182"/>
      <c r="AB100" s="1182"/>
      <c r="AC100" s="1182"/>
      <c r="AD100" s="1182"/>
      <c r="AE100" s="1182"/>
      <c r="AF100" s="1182"/>
      <c r="AG100" s="1182"/>
      <c r="AH100" s="1182"/>
      <c r="AI100" s="1182"/>
      <c r="AJ100" s="1182"/>
      <c r="AK100" s="1182"/>
      <c r="AL100" s="1182"/>
      <c r="AM100" s="1182"/>
      <c r="AN100" s="1182"/>
      <c r="AO100" s="1182"/>
      <c r="AP100" s="1182"/>
      <c r="AQ100" s="1182"/>
      <c r="AR100" s="1383">
        <v>0</v>
      </c>
    </row>
    <row r="101" spans="1:44" s="2380" customFormat="1" ht="17.25" hidden="1" customHeight="1">
      <c r="A101" s="258"/>
      <c r="C101" s="257"/>
      <c r="D101" s="2469"/>
      <c r="E101" s="2458"/>
      <c r="F101" s="2471"/>
      <c r="G101" s="2458"/>
      <c r="H101" s="2460"/>
      <c r="I101" s="2462"/>
      <c r="J101" s="2465"/>
      <c r="K101" s="2456"/>
      <c r="L101" s="2456"/>
      <c r="M101" s="2456"/>
      <c r="N101" s="2454"/>
      <c r="O101" s="2456"/>
      <c r="P101" s="1853"/>
      <c r="Q101" s="1857"/>
      <c r="R101" s="1857"/>
      <c r="S101" s="266"/>
      <c r="T101" s="266"/>
      <c r="U101" s="266"/>
      <c r="V101" s="266"/>
      <c r="W101" s="1858"/>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c r="AR101" s="1383">
        <v>0</v>
      </c>
    </row>
    <row r="102" spans="1:44" s="2380" customFormat="1" ht="17.25" hidden="1" customHeight="1">
      <c r="A102" s="258"/>
      <c r="C102" s="257"/>
      <c r="D102" s="2469"/>
      <c r="E102" s="2458"/>
      <c r="F102" s="2471"/>
      <c r="G102" s="2458"/>
      <c r="H102" s="2460"/>
      <c r="I102" s="2462"/>
      <c r="J102" s="2465"/>
      <c r="K102" s="2456"/>
      <c r="L102" s="1857"/>
      <c r="M102" s="1857"/>
      <c r="N102" s="1857"/>
      <c r="O102" s="1857"/>
      <c r="P102" s="1857"/>
      <c r="Q102" s="1857"/>
      <c r="R102" s="1857"/>
      <c r="S102" s="266"/>
      <c r="T102" s="266"/>
      <c r="U102" s="266"/>
      <c r="V102" s="266"/>
      <c r="W102" s="1858"/>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c r="AR102" s="1383">
        <v>0</v>
      </c>
    </row>
    <row r="103" spans="1:44" s="2380" customFormat="1" ht="17.25" hidden="1" customHeight="1">
      <c r="A103" s="258"/>
      <c r="C103" s="257"/>
      <c r="D103" s="2469"/>
      <c r="E103" s="2458"/>
      <c r="F103" s="2472"/>
      <c r="G103" s="2458"/>
      <c r="H103" s="1215"/>
      <c r="I103" s="1855"/>
      <c r="J103" s="1855"/>
      <c r="K103" s="1855"/>
      <c r="L103" s="1855"/>
      <c r="M103" s="1855"/>
      <c r="N103" s="1855"/>
      <c r="O103" s="1855"/>
      <c r="P103" s="1855"/>
      <c r="Q103" s="1855"/>
      <c r="R103" s="1855"/>
      <c r="S103" s="1217"/>
      <c r="T103" s="1217"/>
      <c r="U103" s="1217"/>
      <c r="V103" s="1217"/>
      <c r="W103" s="1856"/>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c r="AR103" s="1383">
        <v>0</v>
      </c>
    </row>
    <row r="104" spans="1:44" s="2380" customFormat="1" ht="11.25" hidden="1" customHeight="1">
      <c r="A104" s="214"/>
      <c r="B104" s="214"/>
      <c r="Y104" s="1175"/>
      <c r="Z104" s="1175"/>
      <c r="AA104" s="1175"/>
      <c r="AB104" s="1175"/>
      <c r="AC104" s="1175"/>
      <c r="AD104" s="1175"/>
      <c r="AE104" s="1175"/>
      <c r="AF104" s="1175"/>
      <c r="AG104" s="1175"/>
      <c r="AH104" s="1175"/>
      <c r="AI104" s="1175"/>
      <c r="AJ104" s="1175"/>
      <c r="AK104" s="1175"/>
      <c r="AL104" s="1175"/>
      <c r="AM104" s="1175"/>
      <c r="AN104" s="1175"/>
      <c r="AO104" s="1175"/>
      <c r="AP104" s="1175"/>
      <c r="AQ104" s="1175"/>
      <c r="AR104" s="1383">
        <v>0</v>
      </c>
    </row>
    <row r="105" spans="1:44" s="2380" customFormat="1" ht="17.25" hidden="1" customHeight="1">
      <c r="A105" s="258"/>
      <c r="C105" s="146"/>
      <c r="D105" s="2468">
        <v>1</v>
      </c>
      <c r="E105" s="2457" t="s">
        <v>248</v>
      </c>
      <c r="F105" s="2470" t="s">
        <v>19</v>
      </c>
      <c r="G105" s="2457"/>
      <c r="H105" s="2459"/>
      <c r="I105" s="2461"/>
      <c r="J105" s="2463"/>
      <c r="K105" s="2455"/>
      <c r="L105" s="2455"/>
      <c r="M105" s="2455"/>
      <c r="N105" s="2466"/>
      <c r="O105" s="2455"/>
      <c r="P105" s="2455"/>
      <c r="Q105" s="2455"/>
      <c r="R105" s="2453"/>
      <c r="S105" s="2455"/>
      <c r="T105" s="1386"/>
      <c r="U105" s="1386"/>
      <c r="V105" s="1388"/>
      <c r="W105" s="1212"/>
      <c r="Y105" s="1183"/>
      <c r="Z105" s="1183"/>
      <c r="AA105" s="1183"/>
      <c r="AB105" s="1183"/>
      <c r="AC105" s="1183" t="s">
        <v>249</v>
      </c>
      <c r="AD105" s="1183" t="s">
        <v>250</v>
      </c>
      <c r="AE105" s="1183" t="s">
        <v>251</v>
      </c>
      <c r="AF105" s="1183" t="s">
        <v>252</v>
      </c>
      <c r="AG105" s="1183"/>
      <c r="AH105" s="1183" t="str">
        <f>IF($E$105=0,"",$E$105)</f>
        <v>Тариф на горячую воду (горячее водоснабжение)</v>
      </c>
      <c r="AI105" s="1183" t="str">
        <f>IF($G$105=0,"",$G$105)</f>
        <v/>
      </c>
      <c r="AJ105" s="1183" t="str">
        <f>IF($J$105=0,"",$J$105)</f>
        <v/>
      </c>
      <c r="AK105" s="1183" t="str">
        <f>IF($K$105="нет","без дифференциации",IF($N$105=0,"",$N$105))</f>
        <v/>
      </c>
      <c r="AL105" s="1183" t="str">
        <f>IF($O$105="нет","без дифференциации",IF($R$105=0,"",$R$105))</f>
        <v/>
      </c>
      <c r="AM105" s="1183" t="str">
        <f>IF($S$105="нет","без дифференциации",IF($V$105=0,"",$V$105))</f>
        <v/>
      </c>
      <c r="AN105" s="1183">
        <f>$I$105</f>
        <v>0</v>
      </c>
      <c r="AO105" s="1183" t="str">
        <f>$I$105&amp;"."&amp;$M$105</f>
        <v>.</v>
      </c>
      <c r="AP105" s="1183" t="str">
        <f>$I$105&amp;"."&amp;$M$105&amp;"."&amp;$Q$105</f>
        <v>..</v>
      </c>
      <c r="AQ105" s="1183" t="str">
        <f>$I$105&amp;"."&amp;$M$105&amp;"."&amp;$Q$105&amp;"."&amp;$U$105</f>
        <v>...</v>
      </c>
      <c r="AR105" s="1383">
        <v>0</v>
      </c>
    </row>
    <row r="106" spans="1:44" s="2380" customFormat="1" ht="17.25" hidden="1" customHeight="1">
      <c r="A106" s="258"/>
      <c r="C106" s="257"/>
      <c r="D106" s="2468"/>
      <c r="E106" s="2457"/>
      <c r="F106" s="2471"/>
      <c r="G106" s="2457"/>
      <c r="H106" s="2460"/>
      <c r="I106" s="2462"/>
      <c r="J106" s="2464"/>
      <c r="K106" s="2456"/>
      <c r="L106" s="2456"/>
      <c r="M106" s="2456"/>
      <c r="N106" s="2467"/>
      <c r="O106" s="2456"/>
      <c r="P106" s="2456"/>
      <c r="Q106" s="2456"/>
      <c r="R106" s="2454"/>
      <c r="S106" s="2456"/>
      <c r="T106" s="1213"/>
      <c r="U106" s="1213"/>
      <c r="V106" s="1213"/>
      <c r="W106" s="1214"/>
      <c r="Y106" s="1175"/>
      <c r="Z106" s="1175"/>
      <c r="AA106" s="1175"/>
      <c r="AB106" s="1175"/>
      <c r="AC106" s="1175"/>
      <c r="AD106" s="1175"/>
      <c r="AE106" s="1175"/>
      <c r="AF106" s="1175"/>
      <c r="AG106" s="1175"/>
      <c r="AH106" s="1175"/>
      <c r="AI106" s="1175"/>
      <c r="AJ106" s="1175"/>
      <c r="AK106" s="1175"/>
      <c r="AL106" s="1175"/>
      <c r="AM106" s="1175"/>
      <c r="AN106" s="1175"/>
      <c r="AO106" s="1175"/>
      <c r="AP106" s="1175"/>
      <c r="AQ106" s="1175"/>
      <c r="AR106" s="1383">
        <v>0</v>
      </c>
    </row>
    <row r="107" spans="1:44" s="2380" customFormat="1" ht="17.25" hidden="1" customHeight="1">
      <c r="A107" s="258"/>
      <c r="C107" s="146"/>
      <c r="D107" s="2468"/>
      <c r="E107" s="2457"/>
      <c r="F107" s="2471"/>
      <c r="G107" s="2457"/>
      <c r="H107" s="2460"/>
      <c r="I107" s="2462"/>
      <c r="J107" s="2465"/>
      <c r="K107" s="2456"/>
      <c r="L107" s="2456"/>
      <c r="M107" s="2456"/>
      <c r="N107" s="2454"/>
      <c r="O107" s="2456"/>
      <c r="P107" s="1387"/>
      <c r="Q107" s="1213"/>
      <c r="R107" s="1213"/>
      <c r="S107" s="266"/>
      <c r="T107" s="266"/>
      <c r="U107" s="266"/>
      <c r="V107" s="266"/>
      <c r="W107" s="1214"/>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c r="AR107" s="1383">
        <v>0</v>
      </c>
    </row>
    <row r="108" spans="1:44" s="2380" customFormat="1" ht="17.25" hidden="1" customHeight="1">
      <c r="A108" s="258"/>
      <c r="C108" s="257"/>
      <c r="D108" s="2468"/>
      <c r="E108" s="2457"/>
      <c r="F108" s="2471"/>
      <c r="G108" s="2457"/>
      <c r="H108" s="2460"/>
      <c r="I108" s="2462"/>
      <c r="J108" s="2465"/>
      <c r="K108" s="2456"/>
      <c r="L108" s="1213"/>
      <c r="M108" s="1213"/>
      <c r="N108" s="1213"/>
      <c r="O108" s="1213"/>
      <c r="P108" s="1213"/>
      <c r="Q108" s="1213"/>
      <c r="R108" s="1213"/>
      <c r="S108" s="266"/>
      <c r="T108" s="266"/>
      <c r="U108" s="266"/>
      <c r="V108" s="266"/>
      <c r="W108" s="1214"/>
      <c r="Y108" s="1175"/>
      <c r="Z108" s="1175"/>
      <c r="AA108" s="1175"/>
      <c r="AB108" s="1175"/>
      <c r="AC108" s="1175"/>
      <c r="AD108" s="1175"/>
      <c r="AE108" s="1175"/>
      <c r="AF108" s="1175"/>
      <c r="AG108" s="1175"/>
      <c r="AH108" s="1175"/>
      <c r="AI108" s="1175"/>
      <c r="AJ108" s="1175"/>
      <c r="AK108" s="1175"/>
      <c r="AL108" s="1175"/>
      <c r="AM108" s="1175"/>
      <c r="AN108" s="1175"/>
      <c r="AO108" s="1175"/>
      <c r="AP108" s="1175"/>
      <c r="AQ108" s="1175"/>
      <c r="AR108" s="1383">
        <v>0</v>
      </c>
    </row>
    <row r="109" spans="1:44" s="2380" customFormat="1" ht="17.25" hidden="1" customHeight="1">
      <c r="A109" s="258"/>
      <c r="C109" s="257"/>
      <c r="D109" s="2469"/>
      <c r="E109" s="2458"/>
      <c r="F109" s="2472"/>
      <c r="G109" s="2458"/>
      <c r="H109" s="1215"/>
      <c r="I109" s="1216"/>
      <c r="J109" s="1216"/>
      <c r="K109" s="1216"/>
      <c r="L109" s="1216"/>
      <c r="M109" s="1216"/>
      <c r="N109" s="1216"/>
      <c r="O109" s="1216"/>
      <c r="P109" s="1216"/>
      <c r="Q109" s="1216"/>
      <c r="R109" s="1216"/>
      <c r="S109" s="1217"/>
      <c r="T109" s="1217"/>
      <c r="U109" s="1217"/>
      <c r="V109" s="1217"/>
      <c r="W109" s="1218"/>
      <c r="Y109" s="1175"/>
      <c r="Z109" s="1175"/>
      <c r="AA109" s="1175"/>
      <c r="AB109" s="1175"/>
      <c r="AC109" s="1175"/>
      <c r="AD109" s="1175"/>
      <c r="AE109" s="1175"/>
      <c r="AF109" s="1175"/>
      <c r="AG109" s="1175"/>
      <c r="AH109" s="1175"/>
      <c r="AI109" s="1175"/>
      <c r="AJ109" s="1175"/>
      <c r="AK109" s="1175"/>
      <c r="AL109" s="1175"/>
      <c r="AM109" s="1175"/>
      <c r="AN109" s="1175"/>
      <c r="AO109" s="1175"/>
      <c r="AP109" s="1175"/>
      <c r="AQ109" s="1175"/>
      <c r="AR109" s="1383">
        <v>0</v>
      </c>
    </row>
    <row r="110" spans="1:44" s="2380" customFormat="1" ht="17.25" hidden="1" customHeight="1">
      <c r="A110" s="258"/>
      <c r="C110" s="146"/>
      <c r="D110" s="2468">
        <v>2</v>
      </c>
      <c r="E110" s="2457" t="s">
        <v>253</v>
      </c>
      <c r="F110" s="2470" t="s">
        <v>19</v>
      </c>
      <c r="G110" s="2457"/>
      <c r="H110" s="2459"/>
      <c r="I110" s="2461"/>
      <c r="J110" s="2463"/>
      <c r="K110" s="2455"/>
      <c r="L110" s="2455"/>
      <c r="M110" s="2455"/>
      <c r="N110" s="2466"/>
      <c r="O110" s="2455"/>
      <c r="P110" s="2455"/>
      <c r="Q110" s="2455"/>
      <c r="R110" s="2453"/>
      <c r="S110" s="2455"/>
      <c r="T110" s="1386"/>
      <c r="U110" s="1386"/>
      <c r="V110" s="1388"/>
      <c r="W110" s="1212"/>
      <c r="X110" s="1183"/>
      <c r="Y110" s="1183"/>
      <c r="Z110" s="1183"/>
      <c r="AA110" s="1183"/>
      <c r="AB110" s="1183"/>
      <c r="AC110" s="1183" t="s">
        <v>254</v>
      </c>
      <c r="AD110" s="1183" t="s">
        <v>255</v>
      </c>
      <c r="AE110" s="1183" t="s">
        <v>256</v>
      </c>
      <c r="AF110" s="1183" t="s">
        <v>257</v>
      </c>
      <c r="AG110" s="1183"/>
      <c r="AH110" s="1183" t="str">
        <f>IF($E$110=0,"",$E$110)</f>
        <v>Тариф на транспортировку горячей воды</v>
      </c>
      <c r="AI110" s="1183" t="str">
        <f>IF($G$110=0,"",$G$110)</f>
        <v/>
      </c>
      <c r="AJ110" s="1183" t="str">
        <f>IF($J$110=0,"",$J$110)</f>
        <v/>
      </c>
      <c r="AK110" s="1183" t="str">
        <f>IF($K$110="нет","без дифференциации",IF($N$110=0,"",$N$110))</f>
        <v/>
      </c>
      <c r="AL110" s="1183" t="str">
        <f>IF($O$110="нет","без дифференциации",IF($R$110=0,"",$R$110))</f>
        <v/>
      </c>
      <c r="AM110" s="1183" t="str">
        <f>IF($S$110="нет","без дифференциации",IF($V$110=0,"",$V$110))</f>
        <v/>
      </c>
      <c r="AN110" s="1687">
        <f>$I$110</f>
        <v>0</v>
      </c>
      <c r="AO110" s="1183" t="str">
        <f>$I$110&amp;"."&amp;$M$110</f>
        <v>.</v>
      </c>
      <c r="AP110" s="1175" t="str">
        <f>$I$110&amp;"."&amp;$M$110&amp;"."&amp;$Q$110</f>
        <v>..</v>
      </c>
      <c r="AQ110" s="1175" t="str">
        <f>$I$110&amp;"."&amp;$M$110&amp;"."&amp;$Q$110&amp;"."&amp;$U$110</f>
        <v>...</v>
      </c>
      <c r="AR110" s="1383">
        <v>0</v>
      </c>
    </row>
    <row r="111" spans="1:44" s="2380" customFormat="1" ht="17.25" hidden="1" customHeight="1">
      <c r="A111" s="258"/>
      <c r="C111" s="257"/>
      <c r="D111" s="2468"/>
      <c r="E111" s="2457"/>
      <c r="F111" s="2471"/>
      <c r="G111" s="2457"/>
      <c r="H111" s="2460"/>
      <c r="I111" s="2462"/>
      <c r="J111" s="2464"/>
      <c r="K111" s="2456"/>
      <c r="L111" s="2456"/>
      <c r="M111" s="2456"/>
      <c r="N111" s="2467"/>
      <c r="O111" s="2456"/>
      <c r="P111" s="2456"/>
      <c r="Q111" s="2456"/>
      <c r="R111" s="2454"/>
      <c r="S111" s="2456"/>
      <c r="T111" s="1213"/>
      <c r="U111" s="1213"/>
      <c r="V111" s="1213"/>
      <c r="W111" s="1214"/>
      <c r="X111" s="1175"/>
      <c r="Y111" s="1175"/>
      <c r="Z111" s="1175"/>
      <c r="AA111" s="1175"/>
      <c r="AB111" s="1175"/>
      <c r="AC111" s="1175"/>
      <c r="AD111" s="1175"/>
      <c r="AE111" s="1175"/>
      <c r="AF111" s="1175"/>
      <c r="AG111" s="1175"/>
      <c r="AH111" s="1175"/>
      <c r="AI111" s="1175"/>
      <c r="AJ111" s="1175"/>
      <c r="AK111" s="1175"/>
      <c r="AL111" s="1175"/>
      <c r="AM111" s="1175"/>
      <c r="AN111" s="1175"/>
      <c r="AO111" s="1175"/>
      <c r="AP111" s="1175"/>
      <c r="AQ111" s="1175"/>
      <c r="AR111" s="1383">
        <v>0</v>
      </c>
    </row>
    <row r="112" spans="1:44" s="2380" customFormat="1" ht="17.25" hidden="1" customHeight="1">
      <c r="A112" s="258"/>
      <c r="C112" s="257"/>
      <c r="D112" s="2469"/>
      <c r="E112" s="2458"/>
      <c r="F112" s="2471"/>
      <c r="G112" s="2458"/>
      <c r="H112" s="2460"/>
      <c r="I112" s="2462"/>
      <c r="J112" s="2465"/>
      <c r="K112" s="2456"/>
      <c r="L112" s="2456"/>
      <c r="M112" s="2456"/>
      <c r="N112" s="2454"/>
      <c r="O112" s="2456"/>
      <c r="P112" s="1387"/>
      <c r="Q112" s="1213"/>
      <c r="R112" s="1213"/>
      <c r="S112" s="266"/>
      <c r="T112" s="266"/>
      <c r="U112" s="266"/>
      <c r="V112" s="266"/>
      <c r="W112" s="1214"/>
      <c r="X112" s="1175"/>
      <c r="Y112" s="1175"/>
      <c r="Z112" s="1175"/>
      <c r="AA112" s="1175"/>
      <c r="AB112" s="1175"/>
      <c r="AC112" s="1175"/>
      <c r="AD112" s="1175"/>
      <c r="AE112" s="1175"/>
      <c r="AF112" s="1175"/>
      <c r="AG112" s="1175"/>
      <c r="AH112" s="1175"/>
      <c r="AI112" s="1175"/>
      <c r="AJ112" s="1175"/>
      <c r="AK112" s="1175"/>
      <c r="AL112" s="1175"/>
      <c r="AM112" s="1175"/>
      <c r="AN112" s="1175"/>
      <c r="AO112" s="1175"/>
      <c r="AP112" s="1175"/>
      <c r="AQ112" s="1175"/>
      <c r="AR112" s="1383">
        <v>0</v>
      </c>
    </row>
    <row r="113" spans="1:44" s="2380" customFormat="1" ht="17.25" hidden="1" customHeight="1">
      <c r="A113" s="258"/>
      <c r="C113" s="257"/>
      <c r="D113" s="2469"/>
      <c r="E113" s="2458"/>
      <c r="F113" s="2471"/>
      <c r="G113" s="2458"/>
      <c r="H113" s="2460"/>
      <c r="I113" s="2462"/>
      <c r="J113" s="2465"/>
      <c r="K113" s="2456"/>
      <c r="L113" s="1213"/>
      <c r="M113" s="1213"/>
      <c r="N113" s="1213"/>
      <c r="O113" s="1213"/>
      <c r="P113" s="1213"/>
      <c r="Q113" s="1213"/>
      <c r="R113" s="1213"/>
      <c r="S113" s="266"/>
      <c r="T113" s="266"/>
      <c r="U113" s="266"/>
      <c r="V113" s="266"/>
      <c r="W113" s="1214"/>
      <c r="X113" s="1175"/>
      <c r="Y113" s="1175"/>
      <c r="Z113" s="1175"/>
      <c r="AA113" s="1175"/>
      <c r="AB113" s="1175"/>
      <c r="AC113" s="1175"/>
      <c r="AD113" s="1175"/>
      <c r="AE113" s="1175"/>
      <c r="AF113" s="1175"/>
      <c r="AG113" s="1175"/>
      <c r="AH113" s="1175"/>
      <c r="AI113" s="1175"/>
      <c r="AJ113" s="1175"/>
      <c r="AK113" s="1175"/>
      <c r="AL113" s="1175"/>
      <c r="AM113" s="1175"/>
      <c r="AN113" s="1175"/>
      <c r="AO113" s="1175"/>
      <c r="AP113" s="1175"/>
      <c r="AQ113" s="1175"/>
      <c r="AR113" s="1383">
        <v>0</v>
      </c>
    </row>
    <row r="114" spans="1:44" s="2380" customFormat="1" ht="17.25" hidden="1" customHeight="1">
      <c r="A114" s="258"/>
      <c r="C114" s="257"/>
      <c r="D114" s="2469"/>
      <c r="E114" s="2458"/>
      <c r="F114" s="2472"/>
      <c r="G114" s="2458"/>
      <c r="H114" s="1215"/>
      <c r="I114" s="1216"/>
      <c r="J114" s="1216"/>
      <c r="K114" s="1216"/>
      <c r="L114" s="1216"/>
      <c r="M114" s="1216"/>
      <c r="N114" s="1216"/>
      <c r="O114" s="1216"/>
      <c r="P114" s="1216"/>
      <c r="Q114" s="1216"/>
      <c r="R114" s="1216"/>
      <c r="S114" s="1217"/>
      <c r="T114" s="1217"/>
      <c r="U114" s="1217"/>
      <c r="V114" s="1217"/>
      <c r="W114" s="1218"/>
      <c r="X114" s="1175"/>
      <c r="Y114" s="1175"/>
      <c r="Z114" s="1175"/>
      <c r="AA114" s="1175"/>
      <c r="AB114" s="1175"/>
      <c r="AC114" s="1175"/>
      <c r="AD114" s="1175"/>
      <c r="AE114" s="1175"/>
      <c r="AF114" s="1175"/>
      <c r="AG114" s="1175"/>
      <c r="AH114" s="1175"/>
      <c r="AI114" s="1175"/>
      <c r="AJ114" s="1175"/>
      <c r="AK114" s="1175"/>
      <c r="AL114" s="1175"/>
      <c r="AM114" s="1175"/>
      <c r="AN114" s="1175"/>
      <c r="AO114" s="1175"/>
      <c r="AP114" s="1175"/>
      <c r="AQ114" s="1175"/>
      <c r="AR114" s="1383">
        <v>0</v>
      </c>
    </row>
    <row r="115" spans="1:44" s="2380" customFormat="1" ht="17.25" hidden="1" customHeight="1">
      <c r="A115" s="258"/>
      <c r="C115" s="146"/>
      <c r="D115" s="2468">
        <v>3</v>
      </c>
      <c r="E115" s="2457" t="s">
        <v>258</v>
      </c>
      <c r="F115" s="2470" t="s">
        <v>19</v>
      </c>
      <c r="G115" s="2457"/>
      <c r="H115" s="2459"/>
      <c r="I115" s="2461"/>
      <c r="J115" s="2463"/>
      <c r="K115" s="2455"/>
      <c r="L115" s="2455"/>
      <c r="M115" s="2455"/>
      <c r="N115" s="2466"/>
      <c r="O115" s="2455"/>
      <c r="P115" s="2455"/>
      <c r="Q115" s="2455"/>
      <c r="R115" s="2453"/>
      <c r="S115" s="2455"/>
      <c r="T115" s="1852"/>
      <c r="U115" s="1852"/>
      <c r="V115" s="1854"/>
      <c r="W115" s="1212"/>
      <c r="X115" s="1183"/>
      <c r="Y115" s="1183"/>
      <c r="Z115" s="1183"/>
      <c r="AA115" s="1183"/>
      <c r="AB115" s="1183"/>
      <c r="AC115" s="1183" t="s">
        <v>259</v>
      </c>
      <c r="AD115" s="1183" t="s">
        <v>260</v>
      </c>
      <c r="AE115" s="1183" t="s">
        <v>261</v>
      </c>
      <c r="AF115" s="1183" t="s">
        <v>262</v>
      </c>
      <c r="AG115" s="1183"/>
      <c r="AH115" s="1183" t="str">
        <f>IF($E$115=0,"",$E$115)</f>
        <v>Тариф на подключение (технологическое присоединение) к централизованной системе горячего водоснабжения</v>
      </c>
      <c r="AI115" s="1183" t="str">
        <f>IF($G$115=0,"",$G$115)</f>
        <v/>
      </c>
      <c r="AJ115" s="1183" t="str">
        <f>IF($J$115=0,"",$J$115)</f>
        <v/>
      </c>
      <c r="AK115" s="1183" t="str">
        <f>IF($K$115="нет","без дифференциации",IF($N$115=0,"",$N$115))</f>
        <v/>
      </c>
      <c r="AL115" s="1183" t="str">
        <f>IF($O$115="нет","без дифференциации",IF($R$115=0,"",$R$115))</f>
        <v/>
      </c>
      <c r="AM115" s="1183" t="str">
        <f>IF($S$115="нет","без дифференциации",IF($V$115=0,"",$V$115))</f>
        <v/>
      </c>
      <c r="AN115" s="1687">
        <f>$I$115</f>
        <v>0</v>
      </c>
      <c r="AO115" s="1183" t="str">
        <f>$I$115&amp;"."&amp;$M$115</f>
        <v>.</v>
      </c>
      <c r="AP115" s="1182" t="str">
        <f>$I$115&amp;"."&amp;$M$115&amp;"."&amp;$Q$115</f>
        <v>..</v>
      </c>
      <c r="AQ115" s="1182" t="str">
        <f>$I$115&amp;"."&amp;$M$115&amp;"."&amp;$Q$115&amp;"."&amp;$U$115</f>
        <v>...</v>
      </c>
      <c r="AR115" s="1383">
        <v>0</v>
      </c>
    </row>
    <row r="116" spans="1:44" s="2380" customFormat="1" ht="17.25" hidden="1" customHeight="1">
      <c r="A116" s="258"/>
      <c r="C116" s="257"/>
      <c r="D116" s="2468"/>
      <c r="E116" s="2457"/>
      <c r="F116" s="2471"/>
      <c r="G116" s="2457"/>
      <c r="H116" s="2460"/>
      <c r="I116" s="2462"/>
      <c r="J116" s="2464"/>
      <c r="K116" s="2456"/>
      <c r="L116" s="2456"/>
      <c r="M116" s="2456"/>
      <c r="N116" s="2467"/>
      <c r="O116" s="2456"/>
      <c r="P116" s="2456"/>
      <c r="Q116" s="2456"/>
      <c r="R116" s="2454"/>
      <c r="S116" s="2456"/>
      <c r="T116" s="1857"/>
      <c r="U116" s="1857"/>
      <c r="V116" s="1857"/>
      <c r="W116" s="1858"/>
      <c r="X116" s="1182"/>
      <c r="Y116" s="1182"/>
      <c r="Z116" s="1182"/>
      <c r="AA116" s="1182"/>
      <c r="AB116" s="1182"/>
      <c r="AC116" s="1182"/>
      <c r="AD116" s="1182"/>
      <c r="AE116" s="1182"/>
      <c r="AF116" s="1182"/>
      <c r="AG116" s="1182"/>
      <c r="AH116" s="1182"/>
      <c r="AI116" s="1182"/>
      <c r="AJ116" s="1182"/>
      <c r="AK116" s="1182"/>
      <c r="AL116" s="1182"/>
      <c r="AM116" s="1182"/>
      <c r="AN116" s="1182"/>
      <c r="AO116" s="1182"/>
      <c r="AP116" s="1182"/>
      <c r="AQ116" s="1182"/>
      <c r="AR116" s="1383">
        <v>0</v>
      </c>
    </row>
    <row r="117" spans="1:44" s="2380" customFormat="1" ht="17.25" hidden="1" customHeight="1">
      <c r="A117" s="258"/>
      <c r="C117" s="257"/>
      <c r="D117" s="2469"/>
      <c r="E117" s="2458"/>
      <c r="F117" s="2471"/>
      <c r="G117" s="2458"/>
      <c r="H117" s="2460"/>
      <c r="I117" s="2462"/>
      <c r="J117" s="2465"/>
      <c r="K117" s="2456"/>
      <c r="L117" s="2456"/>
      <c r="M117" s="2456"/>
      <c r="N117" s="2454"/>
      <c r="O117" s="2456"/>
      <c r="P117" s="1853"/>
      <c r="Q117" s="1857"/>
      <c r="R117" s="1857"/>
      <c r="S117" s="266"/>
      <c r="T117" s="266"/>
      <c r="U117" s="266"/>
      <c r="V117" s="266"/>
      <c r="W117" s="1858"/>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c r="AR117" s="1383">
        <v>0</v>
      </c>
    </row>
    <row r="118" spans="1:44" s="2380" customFormat="1" ht="17.25" hidden="1" customHeight="1">
      <c r="A118" s="258"/>
      <c r="C118" s="257"/>
      <c r="D118" s="2469"/>
      <c r="E118" s="2458"/>
      <c r="F118" s="2471"/>
      <c r="G118" s="2458"/>
      <c r="H118" s="2460"/>
      <c r="I118" s="2462"/>
      <c r="J118" s="2465"/>
      <c r="K118" s="2456"/>
      <c r="L118" s="1857"/>
      <c r="M118" s="1857"/>
      <c r="N118" s="1857"/>
      <c r="O118" s="1857"/>
      <c r="P118" s="1857"/>
      <c r="Q118" s="1857"/>
      <c r="R118" s="1857"/>
      <c r="S118" s="266"/>
      <c r="T118" s="266"/>
      <c r="U118" s="266"/>
      <c r="V118" s="266"/>
      <c r="W118" s="1858"/>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c r="AR118" s="1383">
        <v>0</v>
      </c>
    </row>
    <row r="119" spans="1:44" s="2380" customFormat="1" ht="17.25" hidden="1" customHeight="1">
      <c r="A119" s="258"/>
      <c r="C119" s="257"/>
      <c r="D119" s="2469"/>
      <c r="E119" s="2458"/>
      <c r="F119" s="2472"/>
      <c r="G119" s="2458"/>
      <c r="H119" s="1215"/>
      <c r="I119" s="1855"/>
      <c r="J119" s="1855"/>
      <c r="K119" s="1855"/>
      <c r="L119" s="1855"/>
      <c r="M119" s="1855"/>
      <c r="N119" s="1855"/>
      <c r="O119" s="1855"/>
      <c r="P119" s="1855"/>
      <c r="Q119" s="1855"/>
      <c r="R119" s="1855"/>
      <c r="S119" s="1217"/>
      <c r="T119" s="1217"/>
      <c r="U119" s="1217"/>
      <c r="V119" s="1217"/>
      <c r="W119" s="1856"/>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c r="AR119" s="1383">
        <v>0</v>
      </c>
    </row>
    <row r="120" spans="1:44" s="2380" customFormat="1" ht="11.25" hidden="1" customHeight="1">
      <c r="A120" s="214"/>
      <c r="B120" s="214"/>
      <c r="Y120" s="1175"/>
      <c r="Z120" s="1175"/>
      <c r="AA120" s="1175"/>
      <c r="AB120" s="1175"/>
      <c r="AC120" s="1175"/>
      <c r="AD120" s="1175"/>
      <c r="AE120" s="1175"/>
      <c r="AF120" s="1175"/>
      <c r="AG120" s="1175"/>
      <c r="AH120" s="1175"/>
      <c r="AI120" s="1175"/>
      <c r="AJ120" s="1175"/>
      <c r="AK120" s="1175"/>
      <c r="AL120" s="1175"/>
      <c r="AM120" s="1175"/>
      <c r="AN120" s="1175"/>
      <c r="AO120" s="1175"/>
      <c r="AP120" s="1175"/>
      <c r="AQ120" s="1175"/>
      <c r="AR120" s="1383">
        <v>0</v>
      </c>
    </row>
    <row r="121" spans="1:44" s="2380" customFormat="1" ht="17.25" hidden="1" customHeight="1">
      <c r="A121" s="258"/>
      <c r="C121" s="146"/>
      <c r="D121" s="2468">
        <v>1</v>
      </c>
      <c r="E121" s="2457" t="s">
        <v>263</v>
      </c>
      <c r="F121" s="2470" t="s">
        <v>19</v>
      </c>
      <c r="G121" s="2457"/>
      <c r="H121" s="2459"/>
      <c r="I121" s="2461"/>
      <c r="J121" s="2463"/>
      <c r="K121" s="2455"/>
      <c r="L121" s="2455"/>
      <c r="M121" s="2455"/>
      <c r="N121" s="2466"/>
      <c r="O121" s="2455"/>
      <c r="P121" s="2455"/>
      <c r="Q121" s="2455"/>
      <c r="R121" s="2453"/>
      <c r="S121" s="2455"/>
      <c r="T121" s="1386"/>
      <c r="U121" s="1386"/>
      <c r="V121" s="1388"/>
      <c r="W121" s="1212"/>
      <c r="Y121" s="1183"/>
      <c r="Z121" s="1183"/>
      <c r="AA121" s="1183"/>
      <c r="AB121" s="1183"/>
      <c r="AC121" s="1183" t="s">
        <v>264</v>
      </c>
      <c r="AD121" s="1183" t="s">
        <v>265</v>
      </c>
      <c r="AE121" s="1183" t="s">
        <v>266</v>
      </c>
      <c r="AF121" s="1183" t="s">
        <v>267</v>
      </c>
      <c r="AG121" s="1183"/>
      <c r="AH121" s="1183" t="str">
        <f>IF($E$121=0,"",$E$121)</f>
        <v>Тариф на водоотведение</v>
      </c>
      <c r="AI121" s="1183" t="str">
        <f>IF($G$121=0,"",$G$121)</f>
        <v/>
      </c>
      <c r="AJ121" s="1183" t="str">
        <f>IF($J$121=0,"",$J$121)</f>
        <v/>
      </c>
      <c r="AK121" s="1183" t="str">
        <f>IF($K$121="нет","без дифференциации",IF($N$121=0,"",$N$121))</f>
        <v/>
      </c>
      <c r="AL121" s="1183" t="str">
        <f>IF($O$121="нет","без дифференциации",IF($R$121=0,"",$R$121))</f>
        <v/>
      </c>
      <c r="AM121" s="1183" t="str">
        <f>IF($S$121="нет","без дифференциации",IF($V$121=0,"",$V$121))</f>
        <v/>
      </c>
      <c r="AN121" s="1183">
        <f>$I$121</f>
        <v>0</v>
      </c>
      <c r="AO121" s="1183" t="str">
        <f>$I$121&amp;"."&amp;$M$121</f>
        <v>.</v>
      </c>
      <c r="AP121" s="1183" t="str">
        <f>$I$121&amp;"."&amp;$M$121&amp;"."&amp;$Q$121</f>
        <v>..</v>
      </c>
      <c r="AQ121" s="1183" t="str">
        <f>$I$121&amp;"."&amp;$M$121&amp;"."&amp;$Q$121&amp;"."&amp;$U$121</f>
        <v>...</v>
      </c>
      <c r="AR121" s="1383">
        <v>0</v>
      </c>
    </row>
    <row r="122" spans="1:44" s="2380" customFormat="1" ht="17.25" hidden="1" customHeight="1">
      <c r="A122" s="258"/>
      <c r="C122" s="257"/>
      <c r="D122" s="2468"/>
      <c r="E122" s="2457"/>
      <c r="F122" s="2471"/>
      <c r="G122" s="2457"/>
      <c r="H122" s="2460"/>
      <c r="I122" s="2462"/>
      <c r="J122" s="2464"/>
      <c r="K122" s="2456"/>
      <c r="L122" s="2456"/>
      <c r="M122" s="2456"/>
      <c r="N122" s="2467"/>
      <c r="O122" s="2456"/>
      <c r="P122" s="2456"/>
      <c r="Q122" s="2456"/>
      <c r="R122" s="2454"/>
      <c r="S122" s="2456"/>
      <c r="T122" s="1213"/>
      <c r="U122" s="1213"/>
      <c r="V122" s="1213"/>
      <c r="W122" s="1214"/>
      <c r="Y122" s="1175"/>
      <c r="Z122" s="1175"/>
      <c r="AA122" s="1175"/>
      <c r="AB122" s="1175"/>
      <c r="AC122" s="1175"/>
      <c r="AD122" s="1175"/>
      <c r="AE122" s="1175"/>
      <c r="AF122" s="1175"/>
      <c r="AG122" s="1175"/>
      <c r="AH122" s="1175"/>
      <c r="AI122" s="1175"/>
      <c r="AJ122" s="1175"/>
      <c r="AK122" s="1175"/>
      <c r="AL122" s="1175"/>
      <c r="AM122" s="1175"/>
      <c r="AN122" s="1175"/>
      <c r="AO122" s="1175"/>
      <c r="AP122" s="1175"/>
      <c r="AQ122" s="1175"/>
      <c r="AR122" s="1383">
        <v>0</v>
      </c>
    </row>
    <row r="123" spans="1:44" s="2380" customFormat="1" ht="17.25" hidden="1" customHeight="1">
      <c r="A123" s="258"/>
      <c r="C123" s="146"/>
      <c r="D123" s="2468"/>
      <c r="E123" s="2457"/>
      <c r="F123" s="2471"/>
      <c r="G123" s="2457"/>
      <c r="H123" s="2460"/>
      <c r="I123" s="2462"/>
      <c r="J123" s="2465"/>
      <c r="K123" s="2456"/>
      <c r="L123" s="2456"/>
      <c r="M123" s="2456"/>
      <c r="N123" s="2454"/>
      <c r="O123" s="2456"/>
      <c r="P123" s="1387"/>
      <c r="Q123" s="1213"/>
      <c r="R123" s="1213"/>
      <c r="S123" s="266"/>
      <c r="T123" s="266"/>
      <c r="U123" s="266"/>
      <c r="V123" s="266"/>
      <c r="W123" s="1214"/>
      <c r="Y123" s="1183"/>
      <c r="Z123" s="1183"/>
      <c r="AA123" s="1183"/>
      <c r="AB123" s="1183"/>
      <c r="AC123" s="1183"/>
      <c r="AD123" s="1183"/>
      <c r="AE123" s="1183"/>
      <c r="AF123" s="1183"/>
      <c r="AG123" s="1183"/>
      <c r="AH123" s="1183"/>
      <c r="AI123" s="1183"/>
      <c r="AJ123" s="1183"/>
      <c r="AK123" s="1183"/>
      <c r="AL123" s="1183"/>
      <c r="AM123" s="1183"/>
      <c r="AN123" s="1183"/>
      <c r="AO123" s="1183"/>
      <c r="AP123" s="1183"/>
      <c r="AQ123" s="1183"/>
      <c r="AR123" s="1383">
        <v>0</v>
      </c>
    </row>
    <row r="124" spans="1:44" s="2380" customFormat="1" ht="17.25" hidden="1" customHeight="1">
      <c r="A124" s="258"/>
      <c r="C124" s="257"/>
      <c r="D124" s="2468"/>
      <c r="E124" s="2457"/>
      <c r="F124" s="2471"/>
      <c r="G124" s="2457"/>
      <c r="H124" s="2460"/>
      <c r="I124" s="2462"/>
      <c r="J124" s="2465"/>
      <c r="K124" s="2456"/>
      <c r="L124" s="1213"/>
      <c r="M124" s="1213"/>
      <c r="N124" s="1213"/>
      <c r="O124" s="1213"/>
      <c r="P124" s="1213"/>
      <c r="Q124" s="1213"/>
      <c r="R124" s="1213"/>
      <c r="S124" s="266"/>
      <c r="T124" s="266"/>
      <c r="U124" s="266"/>
      <c r="V124" s="266"/>
      <c r="W124" s="1214"/>
      <c r="Y124" s="1175"/>
      <c r="Z124" s="1175"/>
      <c r="AA124" s="1175"/>
      <c r="AB124" s="1175"/>
      <c r="AC124" s="1175"/>
      <c r="AD124" s="1175"/>
      <c r="AE124" s="1175"/>
      <c r="AF124" s="1175"/>
      <c r="AG124" s="1175"/>
      <c r="AH124" s="1175"/>
      <c r="AI124" s="1175"/>
      <c r="AJ124" s="1175"/>
      <c r="AK124" s="1175"/>
      <c r="AL124" s="1175"/>
      <c r="AM124" s="1175"/>
      <c r="AN124" s="1175"/>
      <c r="AO124" s="1175"/>
      <c r="AP124" s="1175"/>
      <c r="AQ124" s="1175"/>
      <c r="AR124" s="1383">
        <v>0</v>
      </c>
    </row>
    <row r="125" spans="1:44" s="2380" customFormat="1" ht="17.25" hidden="1" customHeight="1">
      <c r="A125" s="258"/>
      <c r="C125" s="257"/>
      <c r="D125" s="2469"/>
      <c r="E125" s="2458"/>
      <c r="F125" s="2472"/>
      <c r="G125" s="2458"/>
      <c r="H125" s="1215"/>
      <c r="I125" s="1216"/>
      <c r="J125" s="1216"/>
      <c r="K125" s="1216"/>
      <c r="L125" s="1216"/>
      <c r="M125" s="1216"/>
      <c r="N125" s="1216"/>
      <c r="O125" s="1216"/>
      <c r="P125" s="1216"/>
      <c r="Q125" s="1216"/>
      <c r="R125" s="1216"/>
      <c r="S125" s="1217"/>
      <c r="T125" s="1217"/>
      <c r="U125" s="1217"/>
      <c r="V125" s="1217"/>
      <c r="W125" s="1218"/>
      <c r="Y125" s="1175"/>
      <c r="Z125" s="1175"/>
      <c r="AA125" s="1175"/>
      <c r="AB125" s="1175"/>
      <c r="AC125" s="1175"/>
      <c r="AD125" s="1175"/>
      <c r="AE125" s="1175"/>
      <c r="AF125" s="1175"/>
      <c r="AG125" s="1175"/>
      <c r="AH125" s="1175"/>
      <c r="AI125" s="1175"/>
      <c r="AJ125" s="1175"/>
      <c r="AK125" s="1175"/>
      <c r="AL125" s="1175"/>
      <c r="AM125" s="1175"/>
      <c r="AN125" s="1175"/>
      <c r="AO125" s="1175"/>
      <c r="AP125" s="1175"/>
      <c r="AQ125" s="1175"/>
      <c r="AR125" s="1383">
        <v>0</v>
      </c>
    </row>
    <row r="126" spans="1:44" s="2380" customFormat="1" ht="17.25" hidden="1" customHeight="1">
      <c r="A126" s="258"/>
      <c r="C126" s="146"/>
      <c r="D126" s="2468">
        <v>2</v>
      </c>
      <c r="E126" s="2457" t="s">
        <v>268</v>
      </c>
      <c r="F126" s="2470" t="s">
        <v>19</v>
      </c>
      <c r="G126" s="2457"/>
      <c r="H126" s="2459"/>
      <c r="I126" s="2461"/>
      <c r="J126" s="2463"/>
      <c r="K126" s="2455"/>
      <c r="L126" s="2455"/>
      <c r="M126" s="2455"/>
      <c r="N126" s="2466"/>
      <c r="O126" s="2455"/>
      <c r="P126" s="2455"/>
      <c r="Q126" s="2455"/>
      <c r="R126" s="2453"/>
      <c r="S126" s="2455"/>
      <c r="T126" s="1386"/>
      <c r="U126" s="1386"/>
      <c r="V126" s="1388"/>
      <c r="W126" s="1212"/>
      <c r="X126" s="1183"/>
      <c r="Y126" s="1183"/>
      <c r="Z126" s="1183"/>
      <c r="AA126" s="1183"/>
      <c r="AB126" s="1183"/>
      <c r="AC126" s="1183" t="s">
        <v>269</v>
      </c>
      <c r="AD126" s="1183" t="s">
        <v>270</v>
      </c>
      <c r="AE126" s="1183" t="s">
        <v>271</v>
      </c>
      <c r="AF126" s="1183" t="s">
        <v>272</v>
      </c>
      <c r="AG126" s="1183"/>
      <c r="AH126" s="1183" t="str">
        <f>IF($E$126=0,"",$E$126)</f>
        <v>Тариф на транспортировку сточных вод</v>
      </c>
      <c r="AI126" s="1183" t="str">
        <f>IF($G$126=0,"",$G$126)</f>
        <v/>
      </c>
      <c r="AJ126" s="1183" t="str">
        <f>IF($J$126=0,"",$J$126)</f>
        <v/>
      </c>
      <c r="AK126" s="1183" t="str">
        <f>IF($K$126="нет","без дифференциации",IF($N$126=0,"",$N$126))</f>
        <v/>
      </c>
      <c r="AL126" s="1183" t="str">
        <f>IF($O$126="нет","без дифференциации",IF($R$126=0,"",$R$126))</f>
        <v/>
      </c>
      <c r="AM126" s="1183" t="str">
        <f>IF($S$126="нет","без дифференциации",IF($V$126=0,"",$V$126))</f>
        <v/>
      </c>
      <c r="AN126" s="1687">
        <f>$I$126</f>
        <v>0</v>
      </c>
      <c r="AO126" s="1183" t="str">
        <f>$I$126&amp;"."&amp;$M$126</f>
        <v>.</v>
      </c>
      <c r="AP126" s="1175" t="str">
        <f>$I$126&amp;"."&amp;$M$126&amp;"."&amp;$Q$126</f>
        <v>..</v>
      </c>
      <c r="AQ126" s="1175" t="str">
        <f>$I$126&amp;"."&amp;$M$126&amp;"."&amp;$Q$126&amp;"."&amp;$U$126</f>
        <v>...</v>
      </c>
      <c r="AR126" s="1383">
        <v>0</v>
      </c>
    </row>
    <row r="127" spans="1:44" s="2380" customFormat="1" ht="17.25" hidden="1" customHeight="1">
      <c r="A127" s="258"/>
      <c r="C127" s="257"/>
      <c r="D127" s="2468"/>
      <c r="E127" s="2457"/>
      <c r="F127" s="2471"/>
      <c r="G127" s="2457"/>
      <c r="H127" s="2460"/>
      <c r="I127" s="2462"/>
      <c r="J127" s="2464"/>
      <c r="K127" s="2456"/>
      <c r="L127" s="2456"/>
      <c r="M127" s="2456"/>
      <c r="N127" s="2467"/>
      <c r="O127" s="2456"/>
      <c r="P127" s="2456"/>
      <c r="Q127" s="2456"/>
      <c r="R127" s="2454"/>
      <c r="S127" s="2456"/>
      <c r="T127" s="1213"/>
      <c r="U127" s="1213"/>
      <c r="V127" s="1213"/>
      <c r="W127" s="1214"/>
      <c r="X127" s="1175"/>
      <c r="Y127" s="1175"/>
      <c r="Z127" s="1175"/>
      <c r="AA127" s="1175"/>
      <c r="AB127" s="1175"/>
      <c r="AC127" s="1175"/>
      <c r="AD127" s="1175"/>
      <c r="AE127" s="1175"/>
      <c r="AF127" s="1175"/>
      <c r="AG127" s="1175"/>
      <c r="AH127" s="1175"/>
      <c r="AI127" s="1175"/>
      <c r="AJ127" s="1175"/>
      <c r="AK127" s="1175"/>
      <c r="AL127" s="1175"/>
      <c r="AM127" s="1175"/>
      <c r="AN127" s="1175"/>
      <c r="AO127" s="1175"/>
      <c r="AP127" s="1175"/>
      <c r="AQ127" s="1175"/>
      <c r="AR127" s="1383">
        <v>0</v>
      </c>
    </row>
    <row r="128" spans="1:44" s="2380" customFormat="1" ht="17.25" hidden="1" customHeight="1">
      <c r="A128" s="258"/>
      <c r="C128" s="257"/>
      <c r="D128" s="2469"/>
      <c r="E128" s="2458"/>
      <c r="F128" s="2471"/>
      <c r="G128" s="2458"/>
      <c r="H128" s="2460"/>
      <c r="I128" s="2462"/>
      <c r="J128" s="2465"/>
      <c r="K128" s="2456"/>
      <c r="L128" s="2456"/>
      <c r="M128" s="2456"/>
      <c r="N128" s="2454"/>
      <c r="O128" s="2456"/>
      <c r="P128" s="1387"/>
      <c r="Q128" s="1213"/>
      <c r="R128" s="1213"/>
      <c r="S128" s="266"/>
      <c r="T128" s="266"/>
      <c r="U128" s="266"/>
      <c r="V128" s="266"/>
      <c r="W128" s="1214"/>
      <c r="X128" s="1175"/>
      <c r="Y128" s="1175"/>
      <c r="Z128" s="1175"/>
      <c r="AA128" s="1175"/>
      <c r="AB128" s="1175"/>
      <c r="AC128" s="1175"/>
      <c r="AD128" s="1175"/>
      <c r="AE128" s="1175"/>
      <c r="AF128" s="1175"/>
      <c r="AG128" s="1175"/>
      <c r="AH128" s="1175"/>
      <c r="AI128" s="1175"/>
      <c r="AJ128" s="1175"/>
      <c r="AK128" s="1175"/>
      <c r="AL128" s="1175"/>
      <c r="AM128" s="1175"/>
      <c r="AN128" s="1175"/>
      <c r="AO128" s="1175"/>
      <c r="AP128" s="1175"/>
      <c r="AQ128" s="1175"/>
      <c r="AR128" s="1383">
        <v>0</v>
      </c>
    </row>
    <row r="129" spans="1:44" s="2380" customFormat="1" ht="17.25" hidden="1" customHeight="1">
      <c r="A129" s="258"/>
      <c r="C129" s="257"/>
      <c r="D129" s="2469"/>
      <c r="E129" s="2458"/>
      <c r="F129" s="2471"/>
      <c r="G129" s="2458"/>
      <c r="H129" s="2460"/>
      <c r="I129" s="2462"/>
      <c r="J129" s="2465"/>
      <c r="K129" s="2456"/>
      <c r="L129" s="1213"/>
      <c r="M129" s="1213"/>
      <c r="N129" s="1213"/>
      <c r="O129" s="1213"/>
      <c r="P129" s="1213"/>
      <c r="Q129" s="1213"/>
      <c r="R129" s="1213"/>
      <c r="S129" s="266"/>
      <c r="T129" s="266"/>
      <c r="U129" s="266"/>
      <c r="V129" s="266"/>
      <c r="W129" s="1214"/>
      <c r="X129" s="1175"/>
      <c r="Y129" s="1175"/>
      <c r="Z129" s="1175"/>
      <c r="AA129" s="1175"/>
      <c r="AB129" s="1175"/>
      <c r="AC129" s="1175"/>
      <c r="AD129" s="1175"/>
      <c r="AE129" s="1175"/>
      <c r="AF129" s="1175"/>
      <c r="AG129" s="1175"/>
      <c r="AH129" s="1175"/>
      <c r="AI129" s="1175"/>
      <c r="AJ129" s="1175"/>
      <c r="AK129" s="1175"/>
      <c r="AL129" s="1175"/>
      <c r="AM129" s="1175"/>
      <c r="AN129" s="1175"/>
      <c r="AO129" s="1175"/>
      <c r="AP129" s="1175"/>
      <c r="AQ129" s="1175"/>
      <c r="AR129" s="1383">
        <v>0</v>
      </c>
    </row>
    <row r="130" spans="1:44" s="2380" customFormat="1" ht="17.25" hidden="1" customHeight="1">
      <c r="A130" s="258"/>
      <c r="C130" s="257"/>
      <c r="D130" s="2469"/>
      <c r="E130" s="2458"/>
      <c r="F130" s="2472"/>
      <c r="G130" s="2458"/>
      <c r="H130" s="1215"/>
      <c r="I130" s="1216"/>
      <c r="J130" s="1216"/>
      <c r="K130" s="1216"/>
      <c r="L130" s="1216"/>
      <c r="M130" s="1216"/>
      <c r="N130" s="1216"/>
      <c r="O130" s="1216"/>
      <c r="P130" s="1216"/>
      <c r="Q130" s="1216"/>
      <c r="R130" s="1216"/>
      <c r="S130" s="1217"/>
      <c r="T130" s="1217"/>
      <c r="U130" s="1217"/>
      <c r="V130" s="1217"/>
      <c r="W130" s="1218"/>
      <c r="X130" s="1175"/>
      <c r="Y130" s="1175"/>
      <c r="Z130" s="1175"/>
      <c r="AA130" s="1175"/>
      <c r="AB130" s="1175"/>
      <c r="AC130" s="1175"/>
      <c r="AD130" s="1175"/>
      <c r="AE130" s="1175"/>
      <c r="AF130" s="1175"/>
      <c r="AG130" s="1175"/>
      <c r="AH130" s="1175"/>
      <c r="AI130" s="1175"/>
      <c r="AJ130" s="1175"/>
      <c r="AK130" s="1175"/>
      <c r="AL130" s="1175"/>
      <c r="AM130" s="1175"/>
      <c r="AN130" s="1175"/>
      <c r="AO130" s="1175"/>
      <c r="AP130" s="1175"/>
      <c r="AQ130" s="1175"/>
      <c r="AR130" s="1383">
        <v>0</v>
      </c>
    </row>
    <row r="131" spans="1:44" s="2380" customFormat="1" ht="17.25" hidden="1" customHeight="1">
      <c r="A131" s="258"/>
      <c r="C131" s="146"/>
      <c r="D131" s="2468">
        <v>3</v>
      </c>
      <c r="E131" s="2457" t="s">
        <v>273</v>
      </c>
      <c r="F131" s="2470" t="s">
        <v>19</v>
      </c>
      <c r="G131" s="2457"/>
      <c r="H131" s="2459"/>
      <c r="I131" s="2461"/>
      <c r="J131" s="2463"/>
      <c r="K131" s="2455"/>
      <c r="L131" s="2455"/>
      <c r="M131" s="2455"/>
      <c r="N131" s="2466"/>
      <c r="O131" s="2455"/>
      <c r="P131" s="2455"/>
      <c r="Q131" s="2455"/>
      <c r="R131" s="2453"/>
      <c r="S131" s="2455"/>
      <c r="T131" s="1852"/>
      <c r="U131" s="1852"/>
      <c r="V131" s="1854"/>
      <c r="W131" s="1212"/>
      <c r="X131" s="1183"/>
      <c r="Y131" s="1183"/>
      <c r="Z131" s="1183"/>
      <c r="AA131" s="1183"/>
      <c r="AB131" s="1183"/>
      <c r="AC131" s="1183" t="s">
        <v>274</v>
      </c>
      <c r="AD131" s="1183" t="s">
        <v>275</v>
      </c>
      <c r="AE131" s="1183" t="s">
        <v>276</v>
      </c>
      <c r="AF131" s="1183" t="s">
        <v>277</v>
      </c>
      <c r="AG131" s="1183"/>
      <c r="AH131" s="1183" t="str">
        <f>IF($E$131=0,"",$E$131)</f>
        <v>Тариф на подключение (технологическое присоединение) к централизованной системе водоотведения</v>
      </c>
      <c r="AI131" s="1183" t="str">
        <f>IF($G$131=0,"",$G$131)</f>
        <v/>
      </c>
      <c r="AJ131" s="1183" t="str">
        <f>IF($J$131=0,"",$J$131)</f>
        <v/>
      </c>
      <c r="AK131" s="1183" t="str">
        <f>IF($K$131="нет","без дифференциации",IF($N$131=0,"",$N$131))</f>
        <v/>
      </c>
      <c r="AL131" s="1183" t="str">
        <f>IF($O$131="нет","без дифференциации",IF($R$131=0,"",$R$131))</f>
        <v/>
      </c>
      <c r="AM131" s="1183" t="str">
        <f>IF($S$131="нет","без дифференциации",IF($V$131=0,"",$V$131))</f>
        <v/>
      </c>
      <c r="AN131" s="1687">
        <f>$I$131</f>
        <v>0</v>
      </c>
      <c r="AO131" s="1183" t="str">
        <f>$I$131&amp;"."&amp;$M$131</f>
        <v>.</v>
      </c>
      <c r="AP131" s="1182" t="str">
        <f>$I$131&amp;"."&amp;$M$131&amp;"."&amp;$Q$131</f>
        <v>..</v>
      </c>
      <c r="AQ131" s="1182" t="str">
        <f>$I$131&amp;"."&amp;$M$131&amp;"."&amp;$Q$131&amp;"."&amp;$U$131</f>
        <v>...</v>
      </c>
      <c r="AR131" s="1383">
        <v>0</v>
      </c>
    </row>
    <row r="132" spans="1:44" s="2380" customFormat="1" ht="17.25" hidden="1" customHeight="1">
      <c r="A132" s="258"/>
      <c r="C132" s="257"/>
      <c r="D132" s="2468"/>
      <c r="E132" s="2457"/>
      <c r="F132" s="2471"/>
      <c r="G132" s="2457"/>
      <c r="H132" s="2460"/>
      <c r="I132" s="2462"/>
      <c r="J132" s="2464"/>
      <c r="K132" s="2456"/>
      <c r="L132" s="2456"/>
      <c r="M132" s="2456"/>
      <c r="N132" s="2467"/>
      <c r="O132" s="2456"/>
      <c r="P132" s="2456"/>
      <c r="Q132" s="2456"/>
      <c r="R132" s="2454"/>
      <c r="S132" s="2456"/>
      <c r="T132" s="1857"/>
      <c r="U132" s="1857"/>
      <c r="V132" s="1857"/>
      <c r="W132" s="1858"/>
      <c r="X132" s="1182"/>
      <c r="Y132" s="1182"/>
      <c r="Z132" s="1182"/>
      <c r="AA132" s="1182"/>
      <c r="AB132" s="1182"/>
      <c r="AC132" s="1182"/>
      <c r="AD132" s="1182"/>
      <c r="AE132" s="1182"/>
      <c r="AF132" s="1182"/>
      <c r="AG132" s="1182"/>
      <c r="AH132" s="1182"/>
      <c r="AI132" s="1182"/>
      <c r="AJ132" s="1182"/>
      <c r="AK132" s="1182"/>
      <c r="AL132" s="1182"/>
      <c r="AM132" s="1182"/>
      <c r="AN132" s="1182"/>
      <c r="AO132" s="1182"/>
      <c r="AP132" s="1182"/>
      <c r="AQ132" s="1182"/>
      <c r="AR132" s="1383">
        <v>0</v>
      </c>
    </row>
    <row r="133" spans="1:44" s="2380" customFormat="1" ht="17.25" hidden="1" customHeight="1">
      <c r="A133" s="258"/>
      <c r="C133" s="257"/>
      <c r="D133" s="2469"/>
      <c r="E133" s="2458"/>
      <c r="F133" s="2471"/>
      <c r="G133" s="2458"/>
      <c r="H133" s="2460"/>
      <c r="I133" s="2462"/>
      <c r="J133" s="2465"/>
      <c r="K133" s="2456"/>
      <c r="L133" s="2456"/>
      <c r="M133" s="2456"/>
      <c r="N133" s="2454"/>
      <c r="O133" s="2456"/>
      <c r="P133" s="1853"/>
      <c r="Q133" s="1857"/>
      <c r="R133" s="1857"/>
      <c r="S133" s="266"/>
      <c r="T133" s="266"/>
      <c r="U133" s="266"/>
      <c r="V133" s="266"/>
      <c r="W133" s="1858"/>
      <c r="X133" s="1182"/>
      <c r="Y133" s="1182"/>
      <c r="Z133" s="1182"/>
      <c r="AA133" s="1182"/>
      <c r="AB133" s="1182"/>
      <c r="AC133" s="1182"/>
      <c r="AD133" s="1182"/>
      <c r="AE133" s="1182"/>
      <c r="AF133" s="1182"/>
      <c r="AG133" s="1182"/>
      <c r="AH133" s="1182"/>
      <c r="AI133" s="1182"/>
      <c r="AJ133" s="1182"/>
      <c r="AK133" s="1182"/>
      <c r="AL133" s="1182"/>
      <c r="AM133" s="1182"/>
      <c r="AN133" s="1182"/>
      <c r="AO133" s="1182"/>
      <c r="AP133" s="1182"/>
      <c r="AQ133" s="1182"/>
      <c r="AR133" s="1383">
        <v>0</v>
      </c>
    </row>
    <row r="134" spans="1:44" s="2380" customFormat="1" ht="17.25" hidden="1" customHeight="1">
      <c r="A134" s="258"/>
      <c r="C134" s="257"/>
      <c r="D134" s="2469"/>
      <c r="E134" s="2458"/>
      <c r="F134" s="2471"/>
      <c r="G134" s="2458"/>
      <c r="H134" s="2460"/>
      <c r="I134" s="2462"/>
      <c r="J134" s="2465"/>
      <c r="K134" s="2456"/>
      <c r="L134" s="1857"/>
      <c r="M134" s="1857"/>
      <c r="N134" s="1857"/>
      <c r="O134" s="1857"/>
      <c r="P134" s="1857"/>
      <c r="Q134" s="1857"/>
      <c r="R134" s="1857"/>
      <c r="S134" s="266"/>
      <c r="T134" s="266"/>
      <c r="U134" s="266"/>
      <c r="V134" s="266"/>
      <c r="W134" s="1858"/>
      <c r="X134" s="1182"/>
      <c r="Y134" s="1182"/>
      <c r="Z134" s="1182"/>
      <c r="AA134" s="1182"/>
      <c r="AB134" s="1182"/>
      <c r="AC134" s="1182"/>
      <c r="AD134" s="1182"/>
      <c r="AE134" s="1182"/>
      <c r="AF134" s="1182"/>
      <c r="AG134" s="1182"/>
      <c r="AH134" s="1182"/>
      <c r="AI134" s="1182"/>
      <c r="AJ134" s="1182"/>
      <c r="AK134" s="1182"/>
      <c r="AL134" s="1182"/>
      <c r="AM134" s="1182"/>
      <c r="AN134" s="1182"/>
      <c r="AO134" s="1182"/>
      <c r="AP134" s="1182"/>
      <c r="AQ134" s="1182"/>
      <c r="AR134" s="1383">
        <v>0</v>
      </c>
    </row>
    <row r="135" spans="1:44" s="2380" customFormat="1" ht="17.25" hidden="1" customHeight="1">
      <c r="A135" s="258"/>
      <c r="C135" s="257"/>
      <c r="D135" s="2469"/>
      <c r="E135" s="2458"/>
      <c r="F135" s="2472"/>
      <c r="G135" s="2458"/>
      <c r="H135" s="1215"/>
      <c r="I135" s="1855"/>
      <c r="J135" s="1855"/>
      <c r="K135" s="1855"/>
      <c r="L135" s="1855"/>
      <c r="M135" s="1855"/>
      <c r="N135" s="1855"/>
      <c r="O135" s="1855"/>
      <c r="P135" s="1855"/>
      <c r="Q135" s="1855"/>
      <c r="R135" s="1855"/>
      <c r="S135" s="1217"/>
      <c r="T135" s="1217"/>
      <c r="U135" s="1217"/>
      <c r="V135" s="1217"/>
      <c r="W135" s="1856"/>
      <c r="X135" s="1182"/>
      <c r="Y135" s="1182"/>
      <c r="Z135" s="1182"/>
      <c r="AA135" s="1182"/>
      <c r="AB135" s="1182"/>
      <c r="AC135" s="1182"/>
      <c r="AD135" s="1182"/>
      <c r="AE135" s="1182"/>
      <c r="AF135" s="1182"/>
      <c r="AG135" s="1182"/>
      <c r="AH135" s="1182"/>
      <c r="AI135" s="1182"/>
      <c r="AJ135" s="1182"/>
      <c r="AK135" s="1182"/>
      <c r="AL135" s="1182"/>
      <c r="AM135" s="1182"/>
      <c r="AN135" s="1182"/>
      <c r="AO135" s="1182"/>
      <c r="AP135" s="1182"/>
      <c r="AQ135" s="1182"/>
      <c r="AR135" s="1383">
        <v>0</v>
      </c>
    </row>
    <row r="136" spans="1:44" ht="11.45" customHeight="1">
      <c r="AR136" s="44">
        <v>11</v>
      </c>
    </row>
    <row r="137" spans="1:44" ht="11.45" customHeight="1">
      <c r="AR137" s="44">
        <v>11</v>
      </c>
    </row>
    <row r="138" spans="1:44" ht="11.45" customHeight="1">
      <c r="AR138" s="44">
        <v>11</v>
      </c>
    </row>
    <row r="139" spans="1:44" ht="11.45" customHeight="1">
      <c r="E139" s="1266"/>
      <c r="AR139" s="44">
        <v>11</v>
      </c>
    </row>
    <row r="140" spans="1:44" ht="11.45" customHeight="1">
      <c r="E140" s="1266"/>
      <c r="AR140" s="44">
        <v>11</v>
      </c>
    </row>
    <row r="141" spans="1:44" ht="11.45" customHeight="1">
      <c r="E141" s="1266"/>
      <c r="AR141" s="44">
        <v>11</v>
      </c>
    </row>
    <row r="142" spans="1:44" ht="11.45" customHeight="1">
      <c r="E142" s="1266"/>
      <c r="AR142" s="44">
        <v>11</v>
      </c>
    </row>
    <row r="143" spans="1:44" ht="11.45" customHeight="1">
      <c r="E143" s="1266"/>
      <c r="AR143" s="44">
        <v>11</v>
      </c>
    </row>
    <row r="144" spans="1:44" ht="11.45" customHeight="1">
      <c r="E144" s="1266"/>
      <c r="AR144" s="44">
        <v>11</v>
      </c>
    </row>
    <row r="145" spans="1:44" ht="11.45" customHeight="1">
      <c r="E145" s="1266"/>
      <c r="AR145" s="44">
        <v>11</v>
      </c>
    </row>
    <row r="146" spans="1:44" ht="11.25" hidden="1" customHeight="1">
      <c r="A146" s="91" t="s">
        <v>82</v>
      </c>
      <c r="B146" s="91">
        <v>0</v>
      </c>
      <c r="C146" s="44">
        <v>3</v>
      </c>
      <c r="D146" s="44">
        <v>6</v>
      </c>
      <c r="E146" s="44">
        <v>42</v>
      </c>
      <c r="F146" s="1199">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5">
        <v>0</v>
      </c>
      <c r="Z146" s="1175">
        <v>0</v>
      </c>
      <c r="AA146" s="1175">
        <v>0</v>
      </c>
      <c r="AB146" s="1175">
        <v>0</v>
      </c>
      <c r="AC146" s="1175">
        <v>0</v>
      </c>
      <c r="AD146" s="1175">
        <v>0</v>
      </c>
      <c r="AE146" s="1175">
        <v>0</v>
      </c>
      <c r="AF146" s="1175">
        <v>0</v>
      </c>
      <c r="AG146" s="1175">
        <v>0</v>
      </c>
      <c r="AH146" s="1175">
        <v>0</v>
      </c>
      <c r="AI146" s="1175">
        <v>0</v>
      </c>
      <c r="AJ146" s="1175">
        <v>0</v>
      </c>
      <c r="AK146" s="1175">
        <v>0</v>
      </c>
      <c r="AL146" s="1175">
        <v>0</v>
      </c>
      <c r="AM146" s="1175">
        <v>0</v>
      </c>
      <c r="AN146" s="1175">
        <v>0</v>
      </c>
      <c r="AO146" s="1175">
        <v>0</v>
      </c>
      <c r="AP146" s="1175">
        <v>0</v>
      </c>
      <c r="AQ146" s="1175">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370" hidden="1" customWidth="1"/>
    <col min="2" max="2" width="9.140625" style="2360" hidden="1" customWidth="1"/>
    <col min="3" max="3" width="4" style="2356" customWidth="1"/>
    <col min="4" max="4" width="6" style="2360" customWidth="1"/>
    <col min="5" max="5" width="47" style="2360" customWidth="1"/>
    <col min="6" max="6" width="9" style="2360" customWidth="1"/>
    <col min="7" max="7" width="25.7109375" style="2360" hidden="1" customWidth="1"/>
    <col min="8" max="8" width="34" style="2360" hidden="1" customWidth="1"/>
    <col min="9" max="9" width="25.7109375" style="2360" customWidth="1"/>
    <col min="10" max="10" width="33" style="2360" customWidth="1"/>
    <col min="11" max="11" width="50" style="2357" customWidth="1"/>
    <col min="12" max="20" width="10" style="2360" customWidth="1"/>
    <col min="21" max="21" width="10" style="2363" customWidth="1"/>
    <col min="22" max="22" width="10.5703125" style="2360" hidden="1"/>
  </cols>
  <sheetData>
    <row r="1" spans="1:22" s="2357" customFormat="1" ht="22.5" hidden="1" customHeight="1">
      <c r="C1" s="608"/>
      <c r="G1" s="353">
        <v>4</v>
      </c>
      <c r="I1" s="353">
        <v>4</v>
      </c>
      <c r="U1" s="356"/>
      <c r="V1" s="353" t="s">
        <v>14</v>
      </c>
    </row>
    <row r="2" spans="1:22" s="2360" customFormat="1" ht="15" hidden="1" customHeight="1">
      <c r="A2" s="298"/>
      <c r="C2" s="113"/>
      <c r="D2" s="283"/>
      <c r="E2" s="609"/>
      <c r="F2" s="458"/>
      <c r="G2" s="552"/>
      <c r="H2" s="552"/>
      <c r="I2" s="552"/>
      <c r="J2" s="552"/>
      <c r="U2" s="610"/>
      <c r="V2" s="445">
        <v>0</v>
      </c>
    </row>
    <row r="3" spans="1:22" s="2357"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44" t="s">
        <v>1316</v>
      </c>
      <c r="E5" s="2544"/>
      <c r="F5" s="2544"/>
      <c r="G5" s="2544"/>
      <c r="H5" s="2544"/>
      <c r="I5" s="2544"/>
      <c r="J5" s="2544"/>
      <c r="V5" s="441">
        <v>63</v>
      </c>
    </row>
    <row r="6" spans="1:22" ht="15.75" customHeight="1">
      <c r="C6" s="113"/>
      <c r="D6" s="2516" t="str">
        <f>IF(org=0,"Не определено",org)</f>
        <v>ООО "Пятигорсктеплосервис"</v>
      </c>
      <c r="E6" s="2516"/>
      <c r="F6" s="2516"/>
      <c r="G6" s="2516"/>
      <c r="H6" s="2516"/>
      <c r="I6" s="2516"/>
      <c r="J6" s="2516"/>
      <c r="K6" s="473"/>
      <c r="V6" s="441">
        <v>15</v>
      </c>
    </row>
    <row r="7" spans="1:22" ht="15.75" customHeight="1">
      <c r="C7" s="113"/>
      <c r="D7" s="688"/>
      <c r="E7" s="445"/>
      <c r="F7" s="445"/>
      <c r="G7" s="473">
        <v>22</v>
      </c>
      <c r="I7" s="473">
        <v>1</v>
      </c>
      <c r="J7" s="688"/>
      <c r="V7" s="441">
        <v>15</v>
      </c>
    </row>
    <row r="8" spans="1:22" s="2360" customFormat="1" ht="1.1499999999999999" customHeight="1">
      <c r="A8" s="693"/>
      <c r="C8" s="113"/>
      <c r="D8" s="445"/>
      <c r="E8" s="445"/>
      <c r="F8" s="445"/>
      <c r="G8" s="473"/>
      <c r="H8" s="688"/>
      <c r="I8" s="473" t="s">
        <v>117</v>
      </c>
      <c r="J8" s="688"/>
      <c r="K8" s="353"/>
      <c r="U8" s="611"/>
      <c r="V8" s="692">
        <v>1</v>
      </c>
    </row>
    <row r="9" spans="1:22" ht="15.75" customHeight="1">
      <c r="C9" s="113"/>
      <c r="D9" s="647"/>
      <c r="E9" s="2658" t="s">
        <v>105</v>
      </c>
      <c r="F9" s="2659"/>
      <c r="G9" s="2673" t="str">
        <f>IF(G8="","",INDEX(DIFFERENTIATION_UNMERGE_VD,MATCH(G8,DIFFERENTIATION_ID_DIFF,0)))</f>
        <v/>
      </c>
      <c r="H9" s="2674"/>
      <c r="I9" s="2673" t="str">
        <f>IF(I8="","",INDEX(DIFFERENTIATION_UNMERGE_VD,MATCH(I8,DIFFERENTIATION_ID_DIFF,0)))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9" s="2674"/>
      <c r="K9" s="2494" t="s">
        <v>300</v>
      </c>
      <c r="V9" s="441">
        <v>15</v>
      </c>
    </row>
    <row r="10" spans="1:22" s="2360" customFormat="1" ht="15.75" customHeight="1">
      <c r="A10" s="693"/>
      <c r="C10" s="113"/>
      <c r="D10" s="647"/>
      <c r="E10" s="2658" t="s">
        <v>563</v>
      </c>
      <c r="F10" s="2659"/>
      <c r="G10" s="2673" t="str">
        <f>IF(G8="","",INDEX(DIFFERENTIATION_UNMERGE_AREA,MATCH(G8,DIFFERENTIATION_ID_DIFF,0)))</f>
        <v/>
      </c>
      <c r="H10" s="2674"/>
      <c r="I10" s="2673" t="str">
        <f>IF(I8="","",INDEX(DIFFERENTIATION_UNMERGE_AREA,MATCH(I8,DIFFERENTIATION_ID_DIFF,0)))</f>
        <v>без дифференциации</v>
      </c>
      <c r="J10" s="2674"/>
      <c r="K10" s="2499"/>
      <c r="U10" s="611"/>
      <c r="V10" s="692">
        <v>15</v>
      </c>
    </row>
    <row r="11" spans="1:22" s="2360" customFormat="1" ht="15.75" customHeight="1">
      <c r="A11" s="693"/>
      <c r="C11" s="113"/>
      <c r="D11" s="647"/>
      <c r="E11" s="2658" t="s">
        <v>564</v>
      </c>
      <c r="F11" s="2659"/>
      <c r="G11" s="2673" t="str">
        <f>IF(G8="","",INDEX(DIFFERENTIATION_UNMERGE_SYSTEM,MATCH(G8,DIFFERENTIATION_ID_DIFF,0)))</f>
        <v/>
      </c>
      <c r="H11" s="2674"/>
      <c r="I11" s="2673" t="str">
        <f>IF(I8="","",INDEX(DIFFERENTIATION_UNMERGE_SYSTEM,MATCH(I8,DIFFERENTIATION_ID_DIFF,0)))</f>
        <v>без дифференциации</v>
      </c>
      <c r="J11" s="2674"/>
      <c r="K11" s="2499"/>
      <c r="U11" s="611"/>
      <c r="V11" s="692">
        <v>15</v>
      </c>
    </row>
    <row r="12" spans="1:22" s="2360" customFormat="1" ht="15.75" customHeight="1">
      <c r="A12" s="693"/>
      <c r="C12" s="113"/>
      <c r="D12" s="2660" t="s">
        <v>299</v>
      </c>
      <c r="E12" s="2661"/>
      <c r="F12" s="2661"/>
      <c r="G12" s="812"/>
      <c r="H12" s="812"/>
      <c r="I12" s="812"/>
      <c r="J12" s="812"/>
      <c r="K12" s="2499"/>
      <c r="U12" s="611"/>
      <c r="V12" s="692">
        <v>15</v>
      </c>
    </row>
    <row r="13" spans="1:22" ht="35.65" customHeight="1">
      <c r="C13" s="113"/>
      <c r="D13" s="735" t="s">
        <v>88</v>
      </c>
      <c r="E13" s="737" t="s">
        <v>301</v>
      </c>
      <c r="F13" s="737" t="s">
        <v>565</v>
      </c>
      <c r="G13" s="738" t="s">
        <v>302</v>
      </c>
      <c r="H13" s="737" t="s">
        <v>389</v>
      </c>
      <c r="I13" s="738" t="s">
        <v>302</v>
      </c>
      <c r="J13" s="737" t="s">
        <v>389</v>
      </c>
      <c r="K13" s="2549"/>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914</v>
      </c>
      <c r="F15" s="457" t="s">
        <v>915</v>
      </c>
      <c r="G15" s="614"/>
      <c r="H15" s="614"/>
      <c r="I15" s="614"/>
      <c r="J15" s="614"/>
      <c r="K15" s="226" t="s">
        <v>916</v>
      </c>
      <c r="V15" s="441">
        <v>0</v>
      </c>
    </row>
    <row r="16" spans="1:22" ht="22.5" hidden="1" customHeight="1">
      <c r="A16" s="441"/>
      <c r="C16" s="462"/>
      <c r="D16" s="457">
        <v>2</v>
      </c>
      <c r="E16" s="216" t="s">
        <v>917</v>
      </c>
      <c r="F16" s="457" t="s">
        <v>918</v>
      </c>
      <c r="G16" s="614"/>
      <c r="H16" s="614"/>
      <c r="I16" s="614"/>
      <c r="J16" s="614"/>
      <c r="K16" s="226" t="s">
        <v>919</v>
      </c>
      <c r="V16" s="441">
        <v>0</v>
      </c>
    </row>
    <row r="17" spans="1:22" ht="123.75" hidden="1" customHeight="1">
      <c r="A17" s="441"/>
      <c r="C17" s="462"/>
      <c r="D17" s="457">
        <v>3</v>
      </c>
      <c r="E17" s="216" t="s">
        <v>1317</v>
      </c>
      <c r="F17" s="457" t="s">
        <v>305</v>
      </c>
      <c r="G17" s="614"/>
      <c r="H17" s="614"/>
      <c r="I17" s="614"/>
      <c r="J17" s="614"/>
      <c r="K17" s="226" t="s">
        <v>1318</v>
      </c>
      <c r="V17" s="441">
        <v>0</v>
      </c>
    </row>
    <row r="18" spans="1:22" ht="48.2" customHeight="1">
      <c r="A18" s="441"/>
      <c r="C18" s="462"/>
      <c r="D18" s="457">
        <v>3</v>
      </c>
      <c r="E18" s="216" t="s">
        <v>920</v>
      </c>
      <c r="F18" s="457" t="s">
        <v>305</v>
      </c>
      <c r="G18" s="739" t="s">
        <v>305</v>
      </c>
      <c r="H18" s="740" t="s">
        <v>305</v>
      </c>
      <c r="I18" s="457" t="s">
        <v>305</v>
      </c>
      <c r="J18" s="514" t="s">
        <v>305</v>
      </c>
      <c r="K18" s="226" t="s">
        <v>1319</v>
      </c>
      <c r="V18" s="441">
        <v>46</v>
      </c>
    </row>
    <row r="19" spans="1:22" ht="35.65" customHeight="1">
      <c r="A19" s="441"/>
      <c r="C19" s="462"/>
      <c r="D19" s="475" t="s">
        <v>323</v>
      </c>
      <c r="E19" s="495" t="s">
        <v>922</v>
      </c>
      <c r="F19" s="457" t="s">
        <v>923</v>
      </c>
      <c r="G19" s="747"/>
      <c r="H19" s="46"/>
      <c r="I19" s="747"/>
      <c r="J19" s="748"/>
      <c r="K19" s="615"/>
      <c r="V19" s="441">
        <v>34</v>
      </c>
    </row>
    <row r="20" spans="1:22" ht="35.65" customHeight="1">
      <c r="A20" s="441"/>
      <c r="C20" s="462"/>
      <c r="D20" s="1802" t="s">
        <v>331</v>
      </c>
      <c r="E20" s="495" t="s">
        <v>924</v>
      </c>
      <c r="F20" s="457" t="s">
        <v>925</v>
      </c>
      <c r="G20" s="747"/>
      <c r="H20" s="46"/>
      <c r="I20" s="747"/>
      <c r="J20" s="46"/>
      <c r="K20" s="615"/>
      <c r="V20" s="441">
        <v>34</v>
      </c>
    </row>
    <row r="21" spans="1:22" ht="48.2" customHeight="1">
      <c r="A21" s="441"/>
      <c r="C21" s="462"/>
      <c r="D21" s="1802" t="s">
        <v>333</v>
      </c>
      <c r="E21" s="495" t="s">
        <v>926</v>
      </c>
      <c r="F21" s="457" t="s">
        <v>574</v>
      </c>
      <c r="G21" s="616"/>
      <c r="H21" s="46"/>
      <c r="I21" s="616"/>
      <c r="J21" s="46"/>
      <c r="K21" s="615"/>
      <c r="V21" s="441">
        <v>46</v>
      </c>
    </row>
    <row r="22" spans="1:22" ht="67.5" hidden="1" customHeight="1">
      <c r="A22" s="441"/>
      <c r="C22" s="462"/>
      <c r="D22" s="457">
        <v>5</v>
      </c>
      <c r="E22" s="216" t="s">
        <v>1320</v>
      </c>
      <c r="F22" s="457" t="s">
        <v>557</v>
      </c>
      <c r="G22" s="617"/>
      <c r="H22" s="618"/>
      <c r="I22" s="617"/>
      <c r="J22" s="618"/>
      <c r="K22" s="226" t="s">
        <v>1321</v>
      </c>
      <c r="V22" s="441">
        <v>0</v>
      </c>
    </row>
    <row r="23" spans="1:22" ht="33.75" hidden="1" customHeight="1">
      <c r="C23" s="387"/>
      <c r="D23" s="457">
        <v>6</v>
      </c>
      <c r="E23" s="216" t="s">
        <v>1322</v>
      </c>
      <c r="F23" s="457" t="s">
        <v>1323</v>
      </c>
      <c r="G23" s="617"/>
      <c r="H23" s="617"/>
      <c r="I23" s="617"/>
      <c r="J23" s="617"/>
      <c r="K23" s="226" t="s">
        <v>1324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366" customWidth="1"/>
    <col min="2" max="2" width="11" style="2398" customWidth="1"/>
    <col min="3" max="3" width="9.140625" style="2398"/>
    <col min="4" max="4" width="26.5703125" style="2398" customWidth="1"/>
    <col min="5" max="5" width="36.85546875" style="2376" customWidth="1"/>
    <col min="6" max="6" width="23.5703125" style="2376" customWidth="1"/>
    <col min="7" max="7" width="31.42578125" style="2376" customWidth="1"/>
    <col min="8" max="8" width="40.85546875" style="2376" customWidth="1"/>
    <col min="9" max="9" width="14.5703125" style="2376" customWidth="1"/>
    <col min="10" max="10" width="26.85546875" style="2376" customWidth="1"/>
    <col min="11" max="11" width="50" style="2376" customWidth="1"/>
    <col min="12" max="12" width="52.42578125" style="2376" customWidth="1"/>
    <col min="13" max="13" width="10.7109375" style="2376" customWidth="1"/>
    <col min="14" max="14" width="55.140625" style="2376" customWidth="1"/>
    <col min="15" max="15" width="31.85546875" style="2376" customWidth="1"/>
    <col min="16" max="16" width="23.85546875" style="2376" customWidth="1"/>
    <col min="17" max="17" width="46.5703125" style="2376" customWidth="1"/>
    <col min="18" max="18" width="24" style="2376" customWidth="1"/>
    <col min="19" max="19" width="20.5703125" style="2376" customWidth="1"/>
    <col min="20" max="20" width="22" style="2376" customWidth="1"/>
    <col min="21" max="22" width="26.42578125" style="2376" customWidth="1"/>
    <col min="23" max="23" width="8.28515625" style="2376" hidden="1" customWidth="1"/>
    <col min="24" max="24" width="59.7109375" style="2376" customWidth="1"/>
    <col min="25" max="25" width="49.140625" style="2376" customWidth="1"/>
    <col min="26" max="26" width="11.140625" style="2376" customWidth="1"/>
    <col min="27" max="30" width="29" style="2376" customWidth="1"/>
    <col min="31" max="31" width="9.140625" style="2376"/>
    <col min="32" max="32" width="34.7109375" style="2376" customWidth="1"/>
    <col min="33" max="33" width="9.140625" style="2376"/>
    <col min="34" max="35" width="34.42578125" style="2376" customWidth="1"/>
    <col min="36" max="36" width="9.140625" style="2376"/>
    <col min="37" max="37" width="24.5703125" style="2376" customWidth="1"/>
    <col min="38" max="38" width="9.140625" style="2376"/>
    <col min="39" max="39" width="26.140625" style="2376" customWidth="1"/>
    <col min="40" max="40" width="1.7109375" style="2376" customWidth="1"/>
    <col min="41" max="41" width="9.140625" style="2376"/>
    <col min="42" max="43" width="47.85546875" style="2376" customWidth="1"/>
    <col min="44" max="44" width="1.7109375" style="2376" customWidth="1"/>
    <col min="45" max="45" width="21.42578125" style="2376" customWidth="1"/>
    <col min="46" max="46" width="1.7109375" style="2376" customWidth="1"/>
    <col min="47" max="47" width="31.28515625" style="2376" customWidth="1"/>
    <col min="48" max="48" width="1.7109375" style="2376" customWidth="1"/>
    <col min="49" max="50" width="9.140625" style="2376"/>
    <col min="51" max="51" width="3.7109375" style="2376" customWidth="1"/>
    <col min="52" max="52" width="60.85546875" style="2376" customWidth="1"/>
    <col min="53" max="53" width="49.28515625" style="2376" customWidth="1"/>
    <col min="54" max="54" width="35.140625" style="2376" customWidth="1"/>
    <col min="55" max="55" width="9.140625" style="2376"/>
    <col min="56" max="56" width="1.7109375" style="2376" customWidth="1"/>
    <col min="57" max="57" width="12.5703125" style="2367" customWidth="1"/>
    <col min="58" max="58" width="14.28515625" style="2367" customWidth="1"/>
    <col min="59" max="59" width="30.7109375" style="2376" customWidth="1"/>
    <col min="60" max="60" width="40.7109375" style="2377" customWidth="1"/>
    <col min="61" max="61" width="15" style="2377" customWidth="1"/>
    <col min="62" max="62" width="40.7109375" style="2377" customWidth="1"/>
    <col min="63" max="63" width="2.7109375" style="2377" customWidth="1"/>
    <col min="64" max="64" width="44.7109375" style="2377" customWidth="1"/>
    <col min="65" max="65" width="2.7109375" style="2377" customWidth="1"/>
    <col min="66" max="66" width="40.7109375" style="2377" customWidth="1"/>
    <col min="67" max="68" width="9.140625" style="2376"/>
    <col min="69" max="69" width="18.140625" style="2376" customWidth="1"/>
    <col min="70" max="70" width="57.85546875" style="2376" customWidth="1"/>
    <col min="71" max="71" width="1.7109375" style="2376" customWidth="1"/>
    <col min="72" max="72" width="22.5703125" style="2376" customWidth="1"/>
    <col min="73" max="73" width="57.85546875" style="2376" customWidth="1"/>
    <col min="74" max="74" width="1.7109375" style="2376" customWidth="1"/>
    <col min="75" max="75" width="22.5703125" style="2376" customWidth="1"/>
    <col min="76" max="76" width="57.85546875" style="2376" customWidth="1"/>
    <col min="77" max="77" width="1.7109375" style="2376" customWidth="1"/>
    <col min="78" max="78" width="22.5703125" style="2376" customWidth="1"/>
    <col min="79" max="79" width="57.85546875" style="2376" customWidth="1"/>
    <col min="80" max="81" width="9.140625" style="2376"/>
    <col min="82" max="82" width="49.5703125" style="2376" customWidth="1"/>
  </cols>
  <sheetData>
    <row r="1" spans="1:79" s="2364" customFormat="1" ht="11.25" customHeight="1">
      <c r="A1" s="987" t="s">
        <v>1325</v>
      </c>
      <c r="B1" s="987" t="s">
        <v>1326</v>
      </c>
      <c r="C1" s="987" t="s">
        <v>1327</v>
      </c>
      <c r="D1" s="987" t="s">
        <v>1328</v>
      </c>
      <c r="E1" s="987" t="s">
        <v>1329</v>
      </c>
      <c r="F1" s="987" t="s">
        <v>1330</v>
      </c>
      <c r="G1" s="987" t="s">
        <v>1331</v>
      </c>
      <c r="H1" s="987" t="s">
        <v>1332</v>
      </c>
      <c r="I1" s="987" t="s">
        <v>1333</v>
      </c>
      <c r="J1" s="987" t="s">
        <v>1334</v>
      </c>
      <c r="K1" s="987" t="s">
        <v>1335</v>
      </c>
      <c r="L1" s="987" t="s">
        <v>1336</v>
      </c>
      <c r="M1" s="987"/>
      <c r="N1" s="987" t="s">
        <v>1337</v>
      </c>
      <c r="O1" s="987" t="s">
        <v>1338</v>
      </c>
      <c r="P1" s="987" t="s">
        <v>1339</v>
      </c>
      <c r="Q1" s="987" t="s">
        <v>1340</v>
      </c>
      <c r="R1" s="987" t="s">
        <v>1341</v>
      </c>
      <c r="S1" s="987" t="s">
        <v>1342</v>
      </c>
      <c r="T1" s="987" t="s">
        <v>1343</v>
      </c>
      <c r="U1" s="987" t="s">
        <v>1344</v>
      </c>
      <c r="V1" s="987"/>
      <c r="W1" s="727" t="s">
        <v>1345</v>
      </c>
      <c r="X1" s="987" t="s">
        <v>1346</v>
      </c>
      <c r="Y1" s="987" t="s">
        <v>1347</v>
      </c>
      <c r="Z1" s="987"/>
      <c r="AA1" s="987" t="s">
        <v>1348</v>
      </c>
      <c r="AB1" s="987"/>
      <c r="AC1" s="987" t="s">
        <v>1349</v>
      </c>
      <c r="AD1" s="987"/>
      <c r="AF1" s="987" t="s">
        <v>1350</v>
      </c>
      <c r="AH1" s="987" t="s">
        <v>1351</v>
      </c>
      <c r="AI1" s="987" t="s">
        <v>1352</v>
      </c>
      <c r="AK1" s="987" t="s">
        <v>1353</v>
      </c>
      <c r="AM1" s="987" t="s">
        <v>1354</v>
      </c>
      <c r="AP1" s="987" t="s">
        <v>1355</v>
      </c>
      <c r="AQ1" s="987" t="s">
        <v>1356</v>
      </c>
      <c r="AS1" s="987" t="s">
        <v>1357</v>
      </c>
      <c r="AU1" s="987" t="s">
        <v>1358</v>
      </c>
      <c r="AW1" s="987" t="s">
        <v>1359</v>
      </c>
      <c r="AX1" s="987" t="s">
        <v>1360</v>
      </c>
      <c r="AZ1" s="1068" t="s">
        <v>1361</v>
      </c>
      <c r="BB1" s="987" t="s">
        <v>1362</v>
      </c>
      <c r="BC1" s="987"/>
      <c r="BE1" s="987" t="s">
        <v>1363</v>
      </c>
      <c r="BF1" s="987" t="s">
        <v>1364</v>
      </c>
      <c r="BH1" s="989" t="s">
        <v>913</v>
      </c>
      <c r="BI1" s="990"/>
      <c r="BJ1" s="991" t="s">
        <v>1365</v>
      </c>
      <c r="BK1" s="990"/>
      <c r="BL1" s="992" t="s">
        <v>1014</v>
      </c>
      <c r="BM1" s="990"/>
      <c r="BN1" s="993" t="s">
        <v>1366</v>
      </c>
      <c r="BS1" s="1343"/>
    </row>
    <row r="2" spans="1:79" ht="11.25" customHeight="1">
      <c r="A2" s="994" t="s">
        <v>1367</v>
      </c>
      <c r="B2" s="995">
        <v>2000</v>
      </c>
      <c r="C2" s="995">
        <v>2022</v>
      </c>
      <c r="D2" s="995" t="s">
        <v>62</v>
      </c>
      <c r="E2" s="996" t="s">
        <v>1368</v>
      </c>
      <c r="F2" s="996" t="s">
        <v>1369</v>
      </c>
      <c r="G2" s="996" t="s">
        <v>1370</v>
      </c>
      <c r="H2" s="997" t="s">
        <v>54</v>
      </c>
      <c r="I2" s="996" t="s">
        <v>109</v>
      </c>
      <c r="J2" s="996" t="s">
        <v>1371</v>
      </c>
      <c r="K2" s="998" t="s">
        <v>1372</v>
      </c>
      <c r="L2" s="999"/>
      <c r="M2" s="998">
        <v>1</v>
      </c>
      <c r="N2" s="1078" t="s">
        <v>1373</v>
      </c>
      <c r="O2" s="997" t="s">
        <v>1374</v>
      </c>
      <c r="P2" s="1000" t="s">
        <v>37</v>
      </c>
      <c r="Q2" s="1001" t="s">
        <v>1375</v>
      </c>
      <c r="R2" s="82" t="s">
        <v>1376</v>
      </c>
      <c r="S2" s="82" t="s">
        <v>1377</v>
      </c>
      <c r="T2" s="1002" t="s">
        <v>1378</v>
      </c>
      <c r="U2" s="999" t="s">
        <v>1379</v>
      </c>
      <c r="V2" s="1003">
        <v>1</v>
      </c>
      <c r="W2" s="1004"/>
      <c r="X2" s="1004" t="s">
        <v>1380</v>
      </c>
      <c r="Y2" s="995" t="s">
        <v>1381</v>
      </c>
      <c r="Z2" s="1005"/>
      <c r="AA2" s="995" t="s">
        <v>1382</v>
      </c>
      <c r="AB2" s="1006" t="s">
        <v>1382</v>
      </c>
      <c r="AC2" s="995" t="s">
        <v>1383</v>
      </c>
      <c r="AD2" s="1006" t="s">
        <v>1383</v>
      </c>
      <c r="AF2" s="997" t="s">
        <v>1379</v>
      </c>
      <c r="AH2" s="996" t="s">
        <v>1384</v>
      </c>
      <c r="AI2" s="996" t="s">
        <v>1384</v>
      </c>
      <c r="AK2" s="996" t="s">
        <v>1385</v>
      </c>
      <c r="AM2" s="996" t="s">
        <v>1386</v>
      </c>
      <c r="AP2" s="1007" t="s">
        <v>1380</v>
      </c>
      <c r="AQ2" s="1008" t="s">
        <v>1380</v>
      </c>
      <c r="AS2" s="995" t="s">
        <v>1387</v>
      </c>
      <c r="AU2" s="1037" t="s">
        <v>1388</v>
      </c>
      <c r="AW2" s="1037" t="s">
        <v>1389</v>
      </c>
      <c r="AX2" s="1037" t="s">
        <v>1389</v>
      </c>
      <c r="AZ2" s="1037" t="s">
        <v>52</v>
      </c>
      <c r="BB2" s="1037" t="s">
        <v>569</v>
      </c>
      <c r="BC2" s="1037" t="s">
        <v>570</v>
      </c>
      <c r="BE2" s="1037" t="s">
        <v>1390</v>
      </c>
      <c r="BF2" s="1037" t="s">
        <v>1390</v>
      </c>
    </row>
    <row r="3" spans="1:79" ht="11.25" customHeight="1">
      <c r="A3" s="994" t="s">
        <v>1391</v>
      </c>
      <c r="B3" s="995">
        <v>2001</v>
      </c>
      <c r="C3" s="995">
        <v>2023</v>
      </c>
      <c r="D3" s="995" t="s">
        <v>19</v>
      </c>
      <c r="E3" s="996" t="s">
        <v>1392</v>
      </c>
      <c r="F3" s="996" t="s">
        <v>1393</v>
      </c>
      <c r="G3" s="996" t="s">
        <v>1394</v>
      </c>
      <c r="H3" s="997" t="s">
        <v>1395</v>
      </c>
      <c r="I3" s="996" t="s">
        <v>110</v>
      </c>
      <c r="J3" s="996" t="s">
        <v>555</v>
      </c>
      <c r="K3" s="998" t="s">
        <v>1396</v>
      </c>
      <c r="L3" s="999">
        <f>IFERROR(MATCH(K3,OFFER_METHOD,0),0)</f>
        <v>0</v>
      </c>
      <c r="M3" s="998">
        <v>2</v>
      </c>
      <c r="N3" s="1078" t="s">
        <v>1397</v>
      </c>
      <c r="O3" s="997" t="s">
        <v>1398</v>
      </c>
      <c r="P3" s="1000" t="s">
        <v>1399</v>
      </c>
      <c r="Q3" s="1001" t="s">
        <v>1400</v>
      </c>
      <c r="R3" s="82" t="s">
        <v>1401</v>
      </c>
      <c r="S3" s="82" t="s">
        <v>1402</v>
      </c>
      <c r="T3" s="1002" t="s">
        <v>1403</v>
      </c>
      <c r="U3" s="999" t="s">
        <v>1404</v>
      </c>
      <c r="V3" s="1003">
        <v>2</v>
      </c>
      <c r="W3" s="1004"/>
      <c r="X3" s="1004" t="s">
        <v>1405</v>
      </c>
      <c r="Y3" s="995" t="s">
        <v>1381</v>
      </c>
      <c r="Z3" s="1005"/>
      <c r="AA3" s="995" t="s">
        <v>1406</v>
      </c>
      <c r="AB3" s="1006" t="s">
        <v>1406</v>
      </c>
      <c r="AC3" s="995" t="s">
        <v>1407</v>
      </c>
      <c r="AD3" s="1006" t="s">
        <v>1407</v>
      </c>
      <c r="AF3" s="997" t="s">
        <v>1404</v>
      </c>
      <c r="AH3" s="996" t="s">
        <v>1408</v>
      </c>
      <c r="AI3" s="996" t="s">
        <v>1409</v>
      </c>
      <c r="AK3" s="996" t="s">
        <v>1410</v>
      </c>
      <c r="AM3" s="996" t="s">
        <v>1411</v>
      </c>
      <c r="AP3" s="1007" t="s">
        <v>1412</v>
      </c>
      <c r="AQ3" s="1008" t="s">
        <v>1412</v>
      </c>
      <c r="AS3" s="995" t="s">
        <v>1413</v>
      </c>
      <c r="AU3" s="1037" t="s">
        <v>1414</v>
      </c>
      <c r="AW3" s="1037" t="s">
        <v>1415</v>
      </c>
      <c r="AX3" s="1037" t="s">
        <v>1415</v>
      </c>
      <c r="AZ3" s="1037" t="s">
        <v>1416</v>
      </c>
      <c r="BB3" s="1037" t="s">
        <v>1417</v>
      </c>
      <c r="BC3" s="1037" t="s">
        <v>570</v>
      </c>
      <c r="BE3" s="1037" t="s">
        <v>1137</v>
      </c>
      <c r="BF3" s="1037" t="s">
        <v>1137</v>
      </c>
      <c r="BH3" s="987" t="s">
        <v>1418</v>
      </c>
      <c r="BJ3" s="987" t="s">
        <v>1419</v>
      </c>
      <c r="BL3" s="987" t="s">
        <v>1420</v>
      </c>
      <c r="BN3" s="987" t="s">
        <v>1421</v>
      </c>
      <c r="BR3" s="987" t="s">
        <v>1422</v>
      </c>
      <c r="BS3" s="1344"/>
      <c r="BT3" s="990"/>
      <c r="BU3" s="987" t="s">
        <v>1423</v>
      </c>
      <c r="BV3" s="990"/>
      <c r="BW3" s="1606"/>
      <c r="BX3" s="1608" t="s">
        <v>1424</v>
      </c>
      <c r="CA3" s="987" t="s">
        <v>1425</v>
      </c>
    </row>
    <row r="4" spans="1:79" ht="11.25" customHeight="1">
      <c r="A4" s="994" t="s">
        <v>1426</v>
      </c>
      <c r="B4" s="995">
        <v>2002</v>
      </c>
      <c r="C4" s="995">
        <v>2024</v>
      </c>
      <c r="E4" s="996" t="s">
        <v>1427</v>
      </c>
      <c r="F4" s="996" t="s">
        <v>1428</v>
      </c>
      <c r="H4" s="997" t="s">
        <v>1429</v>
      </c>
      <c r="I4" s="996" t="s">
        <v>90</v>
      </c>
      <c r="J4" s="996" t="s">
        <v>1430</v>
      </c>
      <c r="K4" s="998" t="s">
        <v>1431</v>
      </c>
      <c r="L4" s="999">
        <f>IFERROR(MATCH(K4,OFFER_METHOD,0),0)</f>
        <v>0</v>
      </c>
      <c r="M4" s="998">
        <v>3</v>
      </c>
      <c r="N4" s="1078" t="s">
        <v>1432</v>
      </c>
      <c r="O4" s="996" t="s">
        <v>1433</v>
      </c>
      <c r="Q4" s="1001" t="s">
        <v>1434</v>
      </c>
      <c r="R4" s="82" t="s">
        <v>1435</v>
      </c>
      <c r="S4" s="82" t="s">
        <v>1436</v>
      </c>
      <c r="T4" s="1002" t="s">
        <v>1437</v>
      </c>
      <c r="U4" s="999" t="s">
        <v>1438</v>
      </c>
      <c r="V4" s="1003">
        <v>3</v>
      </c>
      <c r="W4" s="1004"/>
      <c r="X4" s="1004" t="s">
        <v>1439</v>
      </c>
      <c r="Y4" s="995" t="s">
        <v>1381</v>
      </c>
      <c r="Z4" s="1010"/>
      <c r="AC4" s="995" t="s">
        <v>1440</v>
      </c>
      <c r="AD4" s="1006" t="s">
        <v>1440</v>
      </c>
      <c r="AF4" s="997" t="s">
        <v>1438</v>
      </c>
      <c r="AH4" s="997" t="s">
        <v>1441</v>
      </c>
      <c r="AK4" s="996" t="s">
        <v>1442</v>
      </c>
      <c r="AM4" s="996" t="s">
        <v>1443</v>
      </c>
      <c r="AP4" s="1007" t="s">
        <v>1405</v>
      </c>
      <c r="AQ4" s="1008" t="s">
        <v>1405</v>
      </c>
      <c r="AS4" s="995" t="s">
        <v>1444</v>
      </c>
      <c r="AU4" s="1037" t="s">
        <v>1445</v>
      </c>
      <c r="AW4" s="1037" t="s">
        <v>1446</v>
      </c>
      <c r="AX4" s="1037" t="s">
        <v>1446</v>
      </c>
      <c r="AZ4" s="1037" t="s">
        <v>1447</v>
      </c>
      <c r="BB4" s="1037" t="s">
        <v>1448</v>
      </c>
      <c r="BC4" s="1037" t="s">
        <v>1449</v>
      </c>
      <c r="BE4" s="2316">
        <v>2000</v>
      </c>
      <c r="BF4" s="2316" t="s">
        <v>1450</v>
      </c>
      <c r="BH4" s="988" t="s">
        <v>1451</v>
      </c>
      <c r="BJ4" s="988" t="s">
        <v>1451</v>
      </c>
      <c r="BL4" s="988" t="s">
        <v>1451</v>
      </c>
      <c r="BN4" s="988" t="s">
        <v>1451</v>
      </c>
      <c r="BQ4" s="1348" t="s">
        <v>1452</v>
      </c>
      <c r="BR4" s="1075" t="s">
        <v>1453</v>
      </c>
      <c r="BS4" s="211"/>
      <c r="BT4" s="1348" t="s">
        <v>1454</v>
      </c>
      <c r="BU4" s="1075" t="s">
        <v>1455</v>
      </c>
      <c r="BV4" s="990"/>
      <c r="BW4" s="1613" t="s">
        <v>1456</v>
      </c>
      <c r="BX4" s="1607" t="s">
        <v>1457</v>
      </c>
      <c r="BZ4" s="1348" t="s">
        <v>1458</v>
      </c>
      <c r="CA4" s="1075" t="s">
        <v>1459</v>
      </c>
    </row>
    <row r="5" spans="1:79" ht="11.25" customHeight="1">
      <c r="A5" s="994" t="s">
        <v>1460</v>
      </c>
      <c r="B5" s="995">
        <v>2003</v>
      </c>
      <c r="C5" s="995">
        <v>2025</v>
      </c>
      <c r="E5" s="996" t="s">
        <v>1461</v>
      </c>
      <c r="F5" s="996" t="s">
        <v>1462</v>
      </c>
      <c r="H5" s="997" t="s">
        <v>1463</v>
      </c>
      <c r="I5" s="996" t="s">
        <v>91</v>
      </c>
      <c r="K5" s="998" t="s">
        <v>1464</v>
      </c>
      <c r="L5" s="999">
        <f>IFERROR(MATCH(K5,OFFER_METHOD,0),0)</f>
        <v>0</v>
      </c>
      <c r="M5" s="998">
        <v>4</v>
      </c>
      <c r="N5" s="1011" t="s">
        <v>1465</v>
      </c>
      <c r="O5" s="996" t="s">
        <v>1466</v>
      </c>
      <c r="Q5" s="1001" t="s">
        <v>1467</v>
      </c>
      <c r="R5" s="82" t="s">
        <v>1468</v>
      </c>
      <c r="T5" s="997" t="s">
        <v>1469</v>
      </c>
      <c r="U5" s="999" t="s">
        <v>1470</v>
      </c>
      <c r="V5" s="1003">
        <v>4</v>
      </c>
      <c r="W5" s="1004"/>
      <c r="X5" s="1004" t="s">
        <v>167</v>
      </c>
      <c r="Y5" s="995" t="s">
        <v>1471</v>
      </c>
      <c r="Z5" s="1010">
        <v>1</v>
      </c>
      <c r="AF5" s="997" t="s">
        <v>1472</v>
      </c>
      <c r="AH5" s="996" t="s">
        <v>1473</v>
      </c>
      <c r="AK5" s="996" t="s">
        <v>1474</v>
      </c>
      <c r="AM5" s="996" t="s">
        <v>1475</v>
      </c>
      <c r="AP5" s="1007" t="s">
        <v>167</v>
      </c>
      <c r="AQ5" s="1008" t="s">
        <v>167</v>
      </c>
      <c r="AU5" s="1037" t="s">
        <v>1476</v>
      </c>
      <c r="AW5" s="1037" t="s">
        <v>1477</v>
      </c>
      <c r="AX5" s="1037" t="s">
        <v>1477</v>
      </c>
      <c r="AZ5" s="1037" t="s">
        <v>1478</v>
      </c>
      <c r="BB5" s="1037" t="s">
        <v>1479</v>
      </c>
      <c r="BC5" s="1037" t="s">
        <v>1480</v>
      </c>
      <c r="BE5" s="2316">
        <v>2001</v>
      </c>
      <c r="BF5" s="2316" t="s">
        <v>1481</v>
      </c>
      <c r="BH5" s="988" t="s">
        <v>1154</v>
      </c>
      <c r="BJ5" s="988" t="s">
        <v>1154</v>
      </c>
      <c r="BL5" s="988" t="s">
        <v>1154</v>
      </c>
      <c r="BN5" s="988" t="s">
        <v>1482</v>
      </c>
      <c r="BQ5" s="1197">
        <v>4213775</v>
      </c>
      <c r="BR5" s="988" t="s">
        <v>1380</v>
      </c>
      <c r="BS5" s="1345"/>
      <c r="BT5" s="1197">
        <v>64236871</v>
      </c>
      <c r="BU5" s="988" t="s">
        <v>228</v>
      </c>
      <c r="BV5" s="990"/>
      <c r="BW5" s="1611">
        <v>4213767</v>
      </c>
      <c r="BX5" s="1609" t="s">
        <v>1483</v>
      </c>
      <c r="BZ5" s="1197">
        <v>64237509</v>
      </c>
      <c r="CA5" s="1211" t="s">
        <v>1484</v>
      </c>
    </row>
    <row r="6" spans="1:79" ht="11.25" customHeight="1">
      <c r="A6" s="994" t="s">
        <v>1485</v>
      </c>
      <c r="B6" s="995">
        <v>2004</v>
      </c>
      <c r="C6" s="995">
        <v>2026</v>
      </c>
      <c r="E6" s="996" t="s">
        <v>1486</v>
      </c>
      <c r="F6" s="1012"/>
      <c r="H6" s="997" t="s">
        <v>1487</v>
      </c>
      <c r="I6" s="996" t="s">
        <v>111</v>
      </c>
      <c r="J6" s="987" t="s">
        <v>1488</v>
      </c>
      <c r="L6" s="999">
        <f>SUM(kind_of_control_method_filter)</f>
        <v>0</v>
      </c>
      <c r="N6" s="1011" t="s">
        <v>1489</v>
      </c>
      <c r="O6" s="996" t="s">
        <v>1490</v>
      </c>
      <c r="R6" s="82" t="s">
        <v>1375</v>
      </c>
      <c r="T6" s="997" t="s">
        <v>1491</v>
      </c>
      <c r="U6" s="999" t="s">
        <v>1472</v>
      </c>
      <c r="V6" s="1003">
        <v>5</v>
      </c>
      <c r="W6" s="1004"/>
      <c r="X6" s="995" t="s">
        <v>173</v>
      </c>
      <c r="Y6" s="995" t="s">
        <v>1492</v>
      </c>
      <c r="Z6" s="1010"/>
      <c r="AA6" s="1013"/>
      <c r="AH6" s="996" t="s">
        <v>1493</v>
      </c>
      <c r="AK6" s="996" t="s">
        <v>1494</v>
      </c>
      <c r="AM6" s="996" t="s">
        <v>1495</v>
      </c>
      <c r="AP6" s="1007" t="s">
        <v>173</v>
      </c>
      <c r="AQ6" s="1008" t="s">
        <v>173</v>
      </c>
      <c r="AU6" s="1037" t="s">
        <v>1496</v>
      </c>
      <c r="AW6" s="1037" t="s">
        <v>1497</v>
      </c>
      <c r="AX6" s="1037" t="s">
        <v>1497</v>
      </c>
      <c r="BB6" s="1037" t="s">
        <v>1498</v>
      </c>
      <c r="BC6" s="1037" t="s">
        <v>1480</v>
      </c>
      <c r="BE6" s="2316">
        <v>2002</v>
      </c>
      <c r="BF6" s="2316" t="s">
        <v>1499</v>
      </c>
      <c r="BH6" s="988" t="s">
        <v>1500</v>
      </c>
      <c r="BJ6" s="988" t="s">
        <v>1501</v>
      </c>
      <c r="BL6" s="988" t="s">
        <v>1501</v>
      </c>
      <c r="BN6" s="988" t="s">
        <v>1502</v>
      </c>
      <c r="BQ6" s="1197">
        <v>4213784</v>
      </c>
      <c r="BR6" s="1211" t="s">
        <v>1412</v>
      </c>
      <c r="BS6" s="1346"/>
      <c r="BT6" s="1197">
        <v>64236872</v>
      </c>
      <c r="BU6" s="988" t="s">
        <v>233</v>
      </c>
      <c r="BV6" s="990"/>
      <c r="BW6" s="1611">
        <v>4213768</v>
      </c>
      <c r="BX6" s="1609" t="s">
        <v>253</v>
      </c>
      <c r="BZ6" s="1197">
        <v>64237510</v>
      </c>
      <c r="CA6" s="988" t="s">
        <v>1503</v>
      </c>
    </row>
    <row r="7" spans="1:79" ht="11.25" customHeight="1">
      <c r="A7" s="994" t="s">
        <v>1504</v>
      </c>
      <c r="B7" s="995">
        <v>2005</v>
      </c>
      <c r="E7" s="996" t="s">
        <v>1505</v>
      </c>
      <c r="F7" s="1012"/>
      <c r="H7" s="997" t="s">
        <v>1506</v>
      </c>
      <c r="I7" s="996" t="s">
        <v>92</v>
      </c>
      <c r="J7" s="996" t="s">
        <v>1507</v>
      </c>
      <c r="N7" s="1015" t="s">
        <v>1508</v>
      </c>
      <c r="O7" s="996" t="s">
        <v>1509</v>
      </c>
      <c r="U7" s="999" t="s">
        <v>19</v>
      </c>
      <c r="V7" s="306" t="s">
        <v>92</v>
      </c>
      <c r="W7" s="1004"/>
      <c r="X7" s="995" t="s">
        <v>179</v>
      </c>
      <c r="Y7" s="995" t="s">
        <v>1471</v>
      </c>
      <c r="Z7" s="1010"/>
      <c r="AA7" s="1013"/>
      <c r="AH7" s="996" t="s">
        <v>1510</v>
      </c>
      <c r="AK7" s="996" t="s">
        <v>1511</v>
      </c>
      <c r="AM7" s="996" t="s">
        <v>1512</v>
      </c>
      <c r="AP7" s="1007" t="s">
        <v>179</v>
      </c>
      <c r="AQ7" s="1008" t="s">
        <v>179</v>
      </c>
      <c r="AU7" s="1037" t="s">
        <v>1513</v>
      </c>
      <c r="AW7" s="1037" t="s">
        <v>1514</v>
      </c>
      <c r="AX7" s="1037" t="s">
        <v>1514</v>
      </c>
      <c r="AZ7" s="987" t="s">
        <v>1515</v>
      </c>
      <c r="BB7" s="1037" t="s">
        <v>1516</v>
      </c>
      <c r="BC7" s="1037" t="s">
        <v>1480</v>
      </c>
      <c r="BE7" s="2316">
        <v>2003</v>
      </c>
      <c r="BF7" s="2316" t="s">
        <v>1517</v>
      </c>
      <c r="BH7" s="988" t="s">
        <v>1518</v>
      </c>
      <c r="BJ7" s="988" t="s">
        <v>1500</v>
      </c>
      <c r="BL7" s="988" t="s">
        <v>1500</v>
      </c>
      <c r="BN7" s="988" t="s">
        <v>1519</v>
      </c>
      <c r="BQ7" s="1197">
        <v>4213781</v>
      </c>
      <c r="BR7" s="988" t="s">
        <v>1405</v>
      </c>
      <c r="BS7" s="1345"/>
      <c r="BT7" s="1197">
        <v>64236873</v>
      </c>
      <c r="BU7" s="988" t="s">
        <v>238</v>
      </c>
      <c r="BV7" s="990"/>
      <c r="BW7" s="1611">
        <v>4213769</v>
      </c>
      <c r="BX7" s="1609" t="s">
        <v>1520</v>
      </c>
      <c r="BZ7" s="1197">
        <v>64237511</v>
      </c>
      <c r="CA7" s="988" t="s">
        <v>268</v>
      </c>
    </row>
    <row r="8" spans="1:79" ht="11.25" customHeight="1">
      <c r="A8" s="994" t="s">
        <v>1521</v>
      </c>
      <c r="B8" s="995">
        <v>2006</v>
      </c>
      <c r="E8" s="996" t="s">
        <v>1522</v>
      </c>
      <c r="F8" s="1012"/>
      <c r="H8" s="997" t="s">
        <v>1523</v>
      </c>
      <c r="I8" s="996" t="s">
        <v>93</v>
      </c>
      <c r="J8" s="996" t="s">
        <v>1524</v>
      </c>
      <c r="N8" s="1079" t="s">
        <v>1525</v>
      </c>
      <c r="O8" s="996" t="s">
        <v>1526</v>
      </c>
      <c r="V8" s="306" t="s">
        <v>93</v>
      </c>
      <c r="W8" s="1004"/>
      <c r="X8" s="995" t="s">
        <v>185</v>
      </c>
      <c r="Y8" s="995" t="s">
        <v>1471</v>
      </c>
      <c r="Z8" s="1010"/>
      <c r="AA8" s="1013"/>
      <c r="AK8" s="996" t="s">
        <v>1527</v>
      </c>
      <c r="AP8" s="1007" t="s">
        <v>185</v>
      </c>
      <c r="AQ8" s="1008" t="s">
        <v>185</v>
      </c>
      <c r="AU8" s="1037" t="s">
        <v>1528</v>
      </c>
      <c r="AW8" s="1037" t="s">
        <v>1529</v>
      </c>
      <c r="AX8" s="1037" t="s">
        <v>1529</v>
      </c>
      <c r="AZ8" s="1037" t="s">
        <v>67</v>
      </c>
      <c r="BB8" s="1037" t="s">
        <v>1530</v>
      </c>
      <c r="BC8" s="1037" t="s">
        <v>1480</v>
      </c>
      <c r="BE8" s="2316">
        <v>2004</v>
      </c>
      <c r="BF8" s="2316" t="s">
        <v>1531</v>
      </c>
      <c r="BH8" s="988" t="s">
        <v>1144</v>
      </c>
      <c r="BJ8" s="988" t="s">
        <v>1532</v>
      </c>
      <c r="BL8" s="988" t="s">
        <v>1532</v>
      </c>
      <c r="BN8" s="988" t="s">
        <v>1533</v>
      </c>
      <c r="BQ8" s="1197">
        <v>4213776</v>
      </c>
      <c r="BR8" s="988" t="s">
        <v>167</v>
      </c>
      <c r="BS8" s="1345"/>
      <c r="BT8" s="1197">
        <v>64236874</v>
      </c>
      <c r="BU8" s="1211" t="s">
        <v>1534</v>
      </c>
      <c r="BV8" s="990"/>
      <c r="BW8" s="1611">
        <v>4213770</v>
      </c>
      <c r="BX8" s="1612" t="s">
        <v>1535</v>
      </c>
      <c r="BZ8" s="1197">
        <v>64237512</v>
      </c>
      <c r="CA8" s="988" t="s">
        <v>263</v>
      </c>
    </row>
    <row r="9" spans="1:79" ht="11.25" customHeight="1">
      <c r="A9" s="994" t="s">
        <v>1536</v>
      </c>
      <c r="B9" s="995">
        <v>2007</v>
      </c>
      <c r="E9" s="996" t="s">
        <v>1537</v>
      </c>
      <c r="F9" s="1012"/>
      <c r="G9" s="987" t="s">
        <v>1538</v>
      </c>
      <c r="H9" s="987" t="s">
        <v>1539</v>
      </c>
      <c r="I9" s="996" t="s">
        <v>112</v>
      </c>
      <c r="O9" s="996" t="s">
        <v>1540</v>
      </c>
      <c r="V9" s="306" t="s">
        <v>112</v>
      </c>
      <c r="W9" s="1004"/>
      <c r="X9" s="995" t="s">
        <v>191</v>
      </c>
      <c r="Y9" s="995" t="s">
        <v>1381</v>
      </c>
      <c r="Z9" s="1010">
        <v>1</v>
      </c>
      <c r="AA9" s="1013"/>
      <c r="AK9" s="996" t="s">
        <v>1541</v>
      </c>
      <c r="AP9" s="1007" t="s">
        <v>1542</v>
      </c>
      <c r="AQ9" s="1008" t="s">
        <v>1542</v>
      </c>
      <c r="AW9" s="1037" t="s">
        <v>1543</v>
      </c>
      <c r="AX9" s="1037" t="s">
        <v>1543</v>
      </c>
      <c r="AZ9" s="1037" t="s">
        <v>1544</v>
      </c>
      <c r="BB9" s="1037" t="s">
        <v>1545</v>
      </c>
      <c r="BC9" s="1037" t="s">
        <v>1480</v>
      </c>
      <c r="BE9" s="2316">
        <v>2005</v>
      </c>
      <c r="BF9" s="2316" t="s">
        <v>1546</v>
      </c>
      <c r="BH9" s="988" t="s">
        <v>1547</v>
      </c>
      <c r="BJ9" s="988" t="s">
        <v>1548</v>
      </c>
      <c r="BL9" s="988" t="s">
        <v>1548</v>
      </c>
      <c r="BN9" s="988" t="s">
        <v>1549</v>
      </c>
      <c r="BQ9" s="1197">
        <v>4213777</v>
      </c>
      <c r="BR9" s="988" t="s">
        <v>173</v>
      </c>
      <c r="BS9" s="1345"/>
      <c r="BT9" s="1197">
        <v>64236875</v>
      </c>
      <c r="BU9" s="988" t="s">
        <v>243</v>
      </c>
      <c r="BV9" s="990"/>
      <c r="BW9" s="1606"/>
      <c r="BX9" s="1606"/>
    </row>
    <row r="10" spans="1:79" ht="11.25" customHeight="1">
      <c r="A10" s="994" t="s">
        <v>1550</v>
      </c>
      <c r="B10" s="995">
        <v>2008</v>
      </c>
      <c r="E10" s="996" t="s">
        <v>1551</v>
      </c>
      <c r="F10" s="1012"/>
      <c r="G10" s="996" t="s">
        <v>1552</v>
      </c>
      <c r="H10" s="996" t="s">
        <v>1553</v>
      </c>
      <c r="I10" s="996" t="s">
        <v>149</v>
      </c>
      <c r="J10" s="987" t="s">
        <v>1554</v>
      </c>
      <c r="K10" s="987" t="s">
        <v>1555</v>
      </c>
      <c r="O10" s="996" t="s">
        <v>1556</v>
      </c>
      <c r="V10" s="307" t="s">
        <v>149</v>
      </c>
      <c r="W10" s="1016"/>
      <c r="X10" s="1016" t="s">
        <v>1557</v>
      </c>
      <c r="Y10" s="1017" t="s">
        <v>1558</v>
      </c>
      <c r="Z10" s="1010"/>
      <c r="AP10" s="1007" t="s">
        <v>1557</v>
      </c>
      <c r="AQ10" s="1008" t="s">
        <v>1557</v>
      </c>
      <c r="AW10" s="1037" t="s">
        <v>1559</v>
      </c>
      <c r="AX10" s="1037" t="s">
        <v>1559</v>
      </c>
      <c r="AZ10" s="1037" t="s">
        <v>1560</v>
      </c>
      <c r="BB10" s="1037" t="s">
        <v>1561</v>
      </c>
      <c r="BC10" s="1037" t="s">
        <v>1480</v>
      </c>
      <c r="BE10" s="2316">
        <v>2006</v>
      </c>
      <c r="BF10" s="2316" t="s">
        <v>1562</v>
      </c>
      <c r="BH10" s="988" t="s">
        <v>1563</v>
      </c>
      <c r="BJ10" s="988" t="s">
        <v>1564</v>
      </c>
      <c r="BL10" s="988" t="s">
        <v>1564</v>
      </c>
      <c r="BN10" s="988" t="s">
        <v>1565</v>
      </c>
      <c r="BQ10" s="1197">
        <v>4213778</v>
      </c>
      <c r="BR10" s="988" t="s">
        <v>179</v>
      </c>
      <c r="BS10" s="1345"/>
      <c r="BT10" s="1197">
        <v>64236876</v>
      </c>
      <c r="BU10" s="988" t="s">
        <v>223</v>
      </c>
      <c r="BV10" s="990"/>
      <c r="BW10" s="1606"/>
      <c r="BX10" s="1606"/>
    </row>
    <row r="11" spans="1:79" ht="11.25" customHeight="1">
      <c r="A11" s="994" t="s">
        <v>1566</v>
      </c>
      <c r="B11" s="995">
        <v>2009</v>
      </c>
      <c r="E11" s="996" t="s">
        <v>1567</v>
      </c>
      <c r="F11" s="1012"/>
      <c r="G11" s="996" t="s">
        <v>1568</v>
      </c>
      <c r="H11" s="996" t="s">
        <v>1569</v>
      </c>
      <c r="I11" s="996" t="s">
        <v>150</v>
      </c>
      <c r="J11" s="997" t="s">
        <v>1570</v>
      </c>
      <c r="K11" s="1018" t="s">
        <v>1571</v>
      </c>
      <c r="O11" s="997" t="s">
        <v>1572</v>
      </c>
      <c r="V11" s="306" t="s">
        <v>150</v>
      </c>
      <c r="W11" s="212"/>
      <c r="X11" s="1004" t="s">
        <v>1542</v>
      </c>
      <c r="Y11" s="995" t="s">
        <v>1573</v>
      </c>
      <c r="Z11" s="1010"/>
      <c r="AP11" s="1007" t="s">
        <v>191</v>
      </c>
      <c r="AQ11" s="1009" t="s">
        <v>191</v>
      </c>
      <c r="AW11" s="1037" t="s">
        <v>1574</v>
      </c>
      <c r="AX11" s="1037" t="s">
        <v>1574</v>
      </c>
      <c r="AZ11" s="1037" t="s">
        <v>1575</v>
      </c>
      <c r="BB11" s="1037" t="s">
        <v>1576</v>
      </c>
      <c r="BC11" s="1037" t="s">
        <v>1480</v>
      </c>
      <c r="BE11" s="2316">
        <v>2007</v>
      </c>
      <c r="BF11" s="2316" t="s">
        <v>1164</v>
      </c>
      <c r="BH11" s="988" t="s">
        <v>1577</v>
      </c>
      <c r="BJ11" s="988" t="s">
        <v>1547</v>
      </c>
      <c r="BL11" s="988" t="s">
        <v>1547</v>
      </c>
      <c r="BN11" s="988" t="s">
        <v>1578</v>
      </c>
      <c r="BQ11" s="1197">
        <v>4213780</v>
      </c>
      <c r="BR11" s="988" t="s">
        <v>185</v>
      </c>
      <c r="BS11" s="1345"/>
      <c r="BW11" s="1606"/>
      <c r="BX11" s="1606"/>
    </row>
    <row r="12" spans="1:79" ht="11.25" customHeight="1">
      <c r="A12" s="994" t="s">
        <v>1579</v>
      </c>
      <c r="B12" s="995">
        <v>2010</v>
      </c>
      <c r="E12" s="996" t="s">
        <v>1580</v>
      </c>
      <c r="F12" s="1012"/>
      <c r="G12" s="996" t="s">
        <v>1569</v>
      </c>
      <c r="I12" s="996" t="s">
        <v>151</v>
      </c>
      <c r="J12" s="997" t="s">
        <v>1581</v>
      </c>
      <c r="K12" s="1018" t="s">
        <v>571</v>
      </c>
      <c r="O12" s="997" t="s">
        <v>1375</v>
      </c>
      <c r="V12" s="306" t="s">
        <v>151</v>
      </c>
      <c r="W12" s="1009"/>
      <c r="X12" s="1004" t="s">
        <v>1582</v>
      </c>
      <c r="Y12" s="995" t="s">
        <v>1381</v>
      </c>
      <c r="AP12" s="1007"/>
      <c r="AW12" s="1037" t="s">
        <v>150</v>
      </c>
      <c r="AX12" s="1037" t="s">
        <v>150</v>
      </c>
      <c r="AZ12" s="1037" t="s">
        <v>1583</v>
      </c>
      <c r="BB12" s="1037" t="s">
        <v>1584</v>
      </c>
      <c r="BC12" s="1037" t="s">
        <v>1480</v>
      </c>
      <c r="BE12" s="2316">
        <v>2008</v>
      </c>
      <c r="BF12" s="2316" t="s">
        <v>1585</v>
      </c>
      <c r="BH12" s="988" t="s">
        <v>1586</v>
      </c>
      <c r="BJ12" s="988" t="s">
        <v>1587</v>
      </c>
      <c r="BL12" s="988" t="s">
        <v>1587</v>
      </c>
      <c r="BN12" s="988" t="s">
        <v>1588</v>
      </c>
      <c r="BQ12" s="1197">
        <v>4213779</v>
      </c>
      <c r="BR12" s="988" t="s">
        <v>1542</v>
      </c>
      <c r="BS12" s="1345"/>
      <c r="BT12" s="990"/>
      <c r="BU12" s="990"/>
      <c r="BV12" s="990"/>
      <c r="BW12" s="1606"/>
      <c r="BX12" s="1606"/>
    </row>
    <row r="13" spans="1:79" ht="11.25" customHeight="1">
      <c r="A13" s="994" t="s">
        <v>1589</v>
      </c>
      <c r="B13" s="995">
        <v>2011</v>
      </c>
      <c r="E13" s="996" t="s">
        <v>1590</v>
      </c>
      <c r="F13" s="1012"/>
      <c r="I13" s="996" t="s">
        <v>152</v>
      </c>
      <c r="K13" s="1018" t="s">
        <v>1541</v>
      </c>
      <c r="V13" s="306" t="s">
        <v>152</v>
      </c>
      <c r="W13" s="1009"/>
      <c r="X13" s="1009"/>
      <c r="Y13" s="1009"/>
      <c r="AW13" s="1037" t="s">
        <v>151</v>
      </c>
      <c r="AX13" s="1037" t="s">
        <v>151</v>
      </c>
      <c r="BB13" s="1037" t="s">
        <v>1591</v>
      </c>
      <c r="BC13" s="1037" t="s">
        <v>1592</v>
      </c>
      <c r="BE13" s="2316">
        <v>2009</v>
      </c>
      <c r="BF13" s="2316" t="s">
        <v>1160</v>
      </c>
      <c r="BH13" s="988" t="s">
        <v>1593</v>
      </c>
      <c r="BJ13" s="988" t="s">
        <v>1577</v>
      </c>
      <c r="BL13" s="988" t="s">
        <v>1577</v>
      </c>
      <c r="BN13" s="988" t="s">
        <v>1594</v>
      </c>
      <c r="BQ13" s="1197">
        <v>4213783</v>
      </c>
      <c r="BR13" s="988" t="s">
        <v>1557</v>
      </c>
      <c r="BS13" s="1345"/>
      <c r="BT13" s="990"/>
      <c r="BU13" s="990"/>
      <c r="BV13" s="990"/>
      <c r="BW13" s="1610"/>
      <c r="BX13" s="1606"/>
    </row>
    <row r="14" spans="1:79" ht="11.25" customHeight="1">
      <c r="A14" s="994" t="s">
        <v>1595</v>
      </c>
      <c r="B14" s="995">
        <v>2012</v>
      </c>
      <c r="I14" s="996" t="s">
        <v>153</v>
      </c>
      <c r="J14" s="987" t="s">
        <v>1596</v>
      </c>
      <c r="N14" s="987" t="s">
        <v>1597</v>
      </c>
      <c r="V14" s="1003">
        <v>13</v>
      </c>
      <c r="W14" s="1004"/>
      <c r="X14" s="1004" t="s">
        <v>1412</v>
      </c>
      <c r="Y14" s="995" t="s">
        <v>1381</v>
      </c>
      <c r="AW14" s="1037" t="s">
        <v>152</v>
      </c>
      <c r="AX14" s="1037" t="s">
        <v>152</v>
      </c>
      <c r="AZ14" s="987" t="s">
        <v>1598</v>
      </c>
      <c r="BB14" s="1037" t="s">
        <v>1599</v>
      </c>
      <c r="BC14" s="1037" t="s">
        <v>1592</v>
      </c>
      <c r="BE14" s="2316">
        <v>2010</v>
      </c>
      <c r="BF14" s="2316" t="s">
        <v>1600</v>
      </c>
      <c r="BH14" s="988" t="s">
        <v>1519</v>
      </c>
      <c r="BJ14" s="1133" t="s">
        <v>1601</v>
      </c>
      <c r="BL14" s="1133" t="s">
        <v>1601</v>
      </c>
      <c r="BN14" s="988" t="s">
        <v>1602</v>
      </c>
      <c r="BQ14" s="1197">
        <v>4213782</v>
      </c>
      <c r="BR14" s="988" t="s">
        <v>191</v>
      </c>
      <c r="BS14" s="1345"/>
      <c r="BT14" s="990"/>
      <c r="BU14" s="990"/>
      <c r="BV14" s="990"/>
      <c r="BW14" s="1610"/>
      <c r="BX14" s="1606"/>
    </row>
    <row r="15" spans="1:79" ht="19.5" customHeight="1">
      <c r="A15" s="994" t="s">
        <v>1603</v>
      </c>
      <c r="B15" s="995">
        <v>2013</v>
      </c>
      <c r="E15" s="1614" t="s">
        <v>1604</v>
      </c>
      <c r="G15" s="987" t="s">
        <v>1605</v>
      </c>
      <c r="H15" s="987" t="s">
        <v>1606</v>
      </c>
      <c r="I15" s="998" t="s">
        <v>154</v>
      </c>
      <c r="J15" s="1009" t="s">
        <v>592</v>
      </c>
      <c r="N15" s="1074" t="s">
        <v>1607</v>
      </c>
      <c r="X15" s="1007"/>
      <c r="AW15" s="1037" t="s">
        <v>153</v>
      </c>
      <c r="AX15" s="1037" t="s">
        <v>153</v>
      </c>
      <c r="AZ15" s="1037" t="s">
        <v>67</v>
      </c>
      <c r="BB15" s="1037" t="s">
        <v>1608</v>
      </c>
      <c r="BC15" s="1037" t="s">
        <v>1592</v>
      </c>
      <c r="BE15" s="2316">
        <v>2011</v>
      </c>
      <c r="BF15" s="2316" t="s">
        <v>1135</v>
      </c>
      <c r="BH15" s="988" t="s">
        <v>1533</v>
      </c>
      <c r="BJ15" s="1133" t="s">
        <v>1609</v>
      </c>
      <c r="BL15" s="1133" t="s">
        <v>1609</v>
      </c>
      <c r="BN15" s="988" t="s">
        <v>1610</v>
      </c>
      <c r="BR15" s="990"/>
      <c r="BS15" s="1347"/>
      <c r="BT15" s="990"/>
      <c r="BU15" s="990"/>
      <c r="BV15" s="990"/>
      <c r="BW15" s="1610"/>
      <c r="BX15" s="1606"/>
    </row>
    <row r="16" spans="1:79" ht="21" customHeight="1">
      <c r="A16" s="1782" t="s">
        <v>1611</v>
      </c>
      <c r="B16" s="995">
        <v>2014</v>
      </c>
      <c r="E16" s="1615" t="s">
        <v>1612</v>
      </c>
      <c r="G16" s="996" t="s">
        <v>1613</v>
      </c>
      <c r="H16" s="996" t="s">
        <v>1614</v>
      </c>
      <c r="I16" s="998" t="s">
        <v>1615</v>
      </c>
      <c r="J16" s="1009" t="s">
        <v>555</v>
      </c>
      <c r="N16" s="1074" t="s">
        <v>1616</v>
      </c>
      <c r="AW16" s="1037" t="s">
        <v>154</v>
      </c>
      <c r="AX16" s="1037" t="s">
        <v>154</v>
      </c>
      <c r="AZ16" s="1037" t="s">
        <v>1544</v>
      </c>
      <c r="BB16" s="1037" t="s">
        <v>1617</v>
      </c>
      <c r="BC16" s="1037" t="s">
        <v>1592</v>
      </c>
      <c r="BE16" s="2316">
        <v>2012</v>
      </c>
      <c r="BH16" s="988" t="s">
        <v>1549</v>
      </c>
      <c r="BJ16" s="1133" t="s">
        <v>1618</v>
      </c>
      <c r="BL16" s="1133" t="s">
        <v>1618</v>
      </c>
      <c r="BN16" s="988" t="s">
        <v>1619</v>
      </c>
      <c r="BR16" s="990"/>
      <c r="BS16" s="1347"/>
      <c r="BT16" s="990"/>
      <c r="BU16" s="990"/>
      <c r="BV16" s="990"/>
      <c r="BW16" s="1610"/>
      <c r="BX16" s="1606"/>
    </row>
    <row r="17" spans="1:82" ht="21" customHeight="1">
      <c r="A17" s="994" t="s">
        <v>1620</v>
      </c>
      <c r="B17" s="995">
        <v>2015</v>
      </c>
      <c r="G17" s="996" t="s">
        <v>1569</v>
      </c>
      <c r="H17" s="996" t="s">
        <v>1569</v>
      </c>
      <c r="I17" s="996" t="s">
        <v>99</v>
      </c>
      <c r="N17" s="1074" t="s">
        <v>1621</v>
      </c>
      <c r="X17" s="1007"/>
      <c r="AW17" s="1037" t="s">
        <v>1615</v>
      </c>
      <c r="AX17" s="1037" t="s">
        <v>1615</v>
      </c>
      <c r="AZ17" s="1037" t="s">
        <v>1622</v>
      </c>
      <c r="BB17" s="1037" t="s">
        <v>1623</v>
      </c>
      <c r="BC17" s="1037" t="s">
        <v>1480</v>
      </c>
      <c r="BE17" s="2316">
        <v>2013</v>
      </c>
      <c r="BH17" s="988" t="s">
        <v>1565</v>
      </c>
      <c r="BJ17" s="1133" t="s">
        <v>1624</v>
      </c>
      <c r="BL17" s="1133" t="s">
        <v>1624</v>
      </c>
      <c r="BN17" s="988" t="s">
        <v>1625</v>
      </c>
      <c r="BR17" s="987" t="s">
        <v>1422</v>
      </c>
      <c r="BS17" s="1344"/>
      <c r="BU17" s="987" t="s">
        <v>1626</v>
      </c>
      <c r="BV17" s="990"/>
      <c r="BW17" s="1606"/>
      <c r="BX17" s="1608" t="s">
        <v>1627</v>
      </c>
      <c r="CA17" s="987" t="s">
        <v>1628</v>
      </c>
      <c r="CD17" s="987" t="s">
        <v>1629</v>
      </c>
    </row>
    <row r="18" spans="1:82" ht="21" customHeight="1">
      <c r="A18" s="994" t="s">
        <v>1630</v>
      </c>
      <c r="B18" s="995">
        <v>2016</v>
      </c>
      <c r="E18" s="1914" t="s">
        <v>1631</v>
      </c>
      <c r="I18" s="996" t="s">
        <v>1632</v>
      </c>
      <c r="N18" s="1074" t="s">
        <v>1633</v>
      </c>
      <c r="X18" s="1007"/>
      <c r="AW18" s="1037" t="s">
        <v>99</v>
      </c>
      <c r="AX18" s="1037" t="s">
        <v>99</v>
      </c>
      <c r="BB18" s="1037" t="s">
        <v>1634</v>
      </c>
      <c r="BC18" s="1037" t="s">
        <v>1480</v>
      </c>
      <c r="BE18" s="2316">
        <v>2014</v>
      </c>
      <c r="BH18" s="988" t="s">
        <v>1578</v>
      </c>
      <c r="BJ18" s="1133" t="s">
        <v>1635</v>
      </c>
      <c r="BL18" s="1133" t="s">
        <v>1635</v>
      </c>
      <c r="BN18" s="988" t="s">
        <v>1636</v>
      </c>
      <c r="BQ18" s="1348" t="s">
        <v>1452</v>
      </c>
      <c r="BR18" s="1075" t="s">
        <v>1453</v>
      </c>
      <c r="BS18" s="211"/>
      <c r="BT18" s="1348" t="s">
        <v>1637</v>
      </c>
      <c r="BU18" s="1075" t="s">
        <v>1638</v>
      </c>
      <c r="BV18" s="990"/>
      <c r="BW18" s="1613" t="s">
        <v>1639</v>
      </c>
      <c r="BX18" s="1607" t="s">
        <v>1640</v>
      </c>
      <c r="BZ18" s="1348" t="s">
        <v>1641</v>
      </c>
      <c r="CA18" s="1075" t="s">
        <v>1642</v>
      </c>
      <c r="CC18" s="1348" t="s">
        <v>1643</v>
      </c>
      <c r="CD18" s="1075" t="s">
        <v>1644</v>
      </c>
    </row>
    <row r="19" spans="1:82" ht="21" customHeight="1">
      <c r="A19" s="1782" t="s">
        <v>1645</v>
      </c>
      <c r="B19" s="995">
        <v>2017</v>
      </c>
      <c r="E19" s="994" t="s">
        <v>166</v>
      </c>
      <c r="I19" s="996" t="s">
        <v>1646</v>
      </c>
      <c r="N19" s="1074" t="s">
        <v>1647</v>
      </c>
      <c r="X19" s="1007"/>
      <c r="AW19" s="1037" t="s">
        <v>1632</v>
      </c>
      <c r="AX19" s="1037" t="s">
        <v>1632</v>
      </c>
      <c r="AZ19" s="987" t="s">
        <v>1648</v>
      </c>
      <c r="BB19" s="1037" t="s">
        <v>1649</v>
      </c>
      <c r="BC19" s="1037" t="s">
        <v>1480</v>
      </c>
      <c r="BE19" s="2316">
        <v>2015</v>
      </c>
      <c r="BH19" s="988" t="s">
        <v>1650</v>
      </c>
      <c r="BJ19" s="1133" t="s">
        <v>1651</v>
      </c>
      <c r="BL19" s="1133" t="s">
        <v>1651</v>
      </c>
      <c r="BQ19" s="1197">
        <v>4190064</v>
      </c>
      <c r="BR19" s="988" t="s">
        <v>1652</v>
      </c>
      <c r="BS19" s="1345"/>
      <c r="BT19" s="1197">
        <v>4189671</v>
      </c>
      <c r="BU19" s="988" t="s">
        <v>1653</v>
      </c>
      <c r="BV19" s="990"/>
      <c r="BW19" s="1611">
        <v>4189706</v>
      </c>
      <c r="BX19" s="1609" t="s">
        <v>1654</v>
      </c>
      <c r="BZ19" s="1197">
        <v>4189714</v>
      </c>
      <c r="CA19" s="988" t="s">
        <v>1655</v>
      </c>
      <c r="CC19" s="1197">
        <v>4189708</v>
      </c>
      <c r="CD19" s="988" t="s">
        <v>1656</v>
      </c>
    </row>
    <row r="20" spans="1:82" ht="21" customHeight="1">
      <c r="A20" s="994" t="s">
        <v>1657</v>
      </c>
      <c r="B20" s="995">
        <v>2018</v>
      </c>
      <c r="E20" s="994" t="s">
        <v>1412</v>
      </c>
      <c r="I20" s="996" t="s">
        <v>1658</v>
      </c>
      <c r="N20" s="1074" t="s">
        <v>1659</v>
      </c>
      <c r="AW20" s="1037" t="s">
        <v>1646</v>
      </c>
      <c r="AX20" s="1037" t="s">
        <v>1646</v>
      </c>
      <c r="AZ20" s="1037" t="s">
        <v>1660</v>
      </c>
      <c r="BB20" s="1037" t="s">
        <v>1661</v>
      </c>
      <c r="BC20" s="1037" t="s">
        <v>1592</v>
      </c>
      <c r="BE20" s="2316">
        <v>2016</v>
      </c>
      <c r="BH20" s="988" t="s">
        <v>1588</v>
      </c>
      <c r="BJ20" s="988" t="s">
        <v>1519</v>
      </c>
      <c r="BL20" s="988" t="s">
        <v>1519</v>
      </c>
      <c r="BQ20" s="1197">
        <v>4190065</v>
      </c>
      <c r="BR20" s="988" t="s">
        <v>1662</v>
      </c>
      <c r="BS20" s="1345"/>
      <c r="BT20" s="1197">
        <v>4189672</v>
      </c>
      <c r="BU20" s="988" t="s">
        <v>1663</v>
      </c>
      <c r="BV20" s="990"/>
      <c r="BW20" s="1611">
        <v>4189705</v>
      </c>
      <c r="BX20" s="1609" t="s">
        <v>1664</v>
      </c>
      <c r="BZ20" s="1197">
        <v>4189713</v>
      </c>
      <c r="CA20" s="988" t="s">
        <v>1664</v>
      </c>
      <c r="CC20" s="1197">
        <v>4189709</v>
      </c>
      <c r="CD20" s="988" t="s">
        <v>1665</v>
      </c>
    </row>
    <row r="21" spans="1:82" ht="21" customHeight="1">
      <c r="A21" s="994" t="s">
        <v>1666</v>
      </c>
      <c r="B21" s="995">
        <v>2019</v>
      </c>
      <c r="I21" s="996" t="s">
        <v>1667</v>
      </c>
      <c r="N21" s="1074" t="s">
        <v>1668</v>
      </c>
      <c r="AW21" s="1037" t="s">
        <v>1658</v>
      </c>
      <c r="AX21" s="1037" t="s">
        <v>1658</v>
      </c>
      <c r="AZ21" s="1037" t="s">
        <v>1669</v>
      </c>
      <c r="BB21" s="1037" t="s">
        <v>1670</v>
      </c>
      <c r="BC21" s="1037" t="s">
        <v>1480</v>
      </c>
      <c r="BE21" s="2316">
        <v>2017</v>
      </c>
      <c r="BH21" s="988" t="s">
        <v>1594</v>
      </c>
      <c r="BJ21" s="988" t="s">
        <v>1533</v>
      </c>
      <c r="BL21" s="988" t="s">
        <v>1533</v>
      </c>
      <c r="BQ21" s="1197">
        <v>4190066</v>
      </c>
      <c r="BR21" s="988" t="s">
        <v>1671</v>
      </c>
      <c r="BS21" s="1345"/>
      <c r="BT21" s="1197">
        <v>4189673</v>
      </c>
      <c r="BU21" s="988" t="s">
        <v>1672</v>
      </c>
      <c r="BV21" s="990"/>
      <c r="BW21" s="1611">
        <v>4189707</v>
      </c>
      <c r="BX21" s="1609" t="s">
        <v>1673</v>
      </c>
      <c r="BZ21" s="1197">
        <v>4189712</v>
      </c>
      <c r="CA21" s="988" t="s">
        <v>1674</v>
      </c>
      <c r="CC21" s="1197">
        <v>4189710</v>
      </c>
      <c r="CD21" s="988" t="s">
        <v>1675</v>
      </c>
    </row>
    <row r="22" spans="1:82" ht="21" customHeight="1">
      <c r="A22" s="994" t="s">
        <v>1676</v>
      </c>
      <c r="B22" s="995">
        <v>2020</v>
      </c>
      <c r="N22" s="1074" t="s">
        <v>1677</v>
      </c>
      <c r="AW22" s="1037" t="s">
        <v>1667</v>
      </c>
      <c r="AX22" s="1037" t="s">
        <v>1667</v>
      </c>
      <c r="AZ22" s="1037" t="s">
        <v>1678</v>
      </c>
      <c r="BB22" s="1037" t="s">
        <v>1679</v>
      </c>
      <c r="BC22" s="1037" t="s">
        <v>1480</v>
      </c>
      <c r="BE22" s="2316">
        <v>2018</v>
      </c>
      <c r="BH22" s="988" t="s">
        <v>1602</v>
      </c>
      <c r="BJ22" s="988" t="s">
        <v>1549</v>
      </c>
      <c r="BL22" s="988" t="s">
        <v>1549</v>
      </c>
      <c r="BQ22" s="1197">
        <v>4190067</v>
      </c>
      <c r="BR22" s="988" t="s">
        <v>1680</v>
      </c>
      <c r="BS22" s="1345"/>
      <c r="BT22" s="1197">
        <v>4189674</v>
      </c>
      <c r="BU22" s="988" t="s">
        <v>1681</v>
      </c>
      <c r="BV22" s="990"/>
      <c r="BW22" s="990"/>
      <c r="CC22" s="1197">
        <v>4189711</v>
      </c>
      <c r="CD22" s="988" t="s">
        <v>292</v>
      </c>
    </row>
    <row r="23" spans="1:82" ht="21" customHeight="1">
      <c r="A23" s="994" t="s">
        <v>1682</v>
      </c>
      <c r="B23" s="995">
        <v>2021</v>
      </c>
      <c r="AW23" s="1037" t="s">
        <v>1683</v>
      </c>
      <c r="AX23" s="1037" t="s">
        <v>1683</v>
      </c>
      <c r="AZ23" s="1037" t="s">
        <v>1684</v>
      </c>
      <c r="BB23" s="1037" t="s">
        <v>1685</v>
      </c>
      <c r="BC23" s="1037" t="s">
        <v>570</v>
      </c>
      <c r="BE23" s="2316">
        <v>2019</v>
      </c>
      <c r="BH23" s="988" t="s">
        <v>1610</v>
      </c>
      <c r="BJ23" s="988" t="s">
        <v>1565</v>
      </c>
      <c r="BL23" s="988" t="s">
        <v>1565</v>
      </c>
      <c r="BQ23" s="1197">
        <v>4190068</v>
      </c>
      <c r="BR23" s="988" t="s">
        <v>1686</v>
      </c>
      <c r="BS23" s="1345"/>
      <c r="BT23" s="1197">
        <v>4189675</v>
      </c>
      <c r="BU23" s="988" t="s">
        <v>1687</v>
      </c>
      <c r="BV23" s="990"/>
      <c r="BW23" s="990"/>
      <c r="CC23" s="1197">
        <v>5110778</v>
      </c>
      <c r="CD23" s="988" t="s">
        <v>1688</v>
      </c>
    </row>
    <row r="24" spans="1:82" ht="21" customHeight="1">
      <c r="A24" s="994" t="s">
        <v>1689</v>
      </c>
      <c r="B24" s="995">
        <v>2022</v>
      </c>
      <c r="AW24" s="1037" t="s">
        <v>1690</v>
      </c>
      <c r="AX24" s="1037" t="s">
        <v>1690</v>
      </c>
      <c r="AZ24" s="1037" t="s">
        <v>1691</v>
      </c>
      <c r="BB24" s="1037" t="s">
        <v>1692</v>
      </c>
      <c r="BC24" s="1037" t="s">
        <v>1693</v>
      </c>
      <c r="BE24" s="2316">
        <v>2020</v>
      </c>
      <c r="BH24" s="988" t="s">
        <v>1619</v>
      </c>
      <c r="BJ24" s="988" t="s">
        <v>1578</v>
      </c>
      <c r="BL24" s="988" t="s">
        <v>1578</v>
      </c>
      <c r="BQ24" s="1197">
        <v>4190069</v>
      </c>
      <c r="BR24" s="988" t="s">
        <v>1694</v>
      </c>
      <c r="BS24" s="1345"/>
      <c r="BT24" s="1197">
        <v>4189676</v>
      </c>
      <c r="BU24" s="988" t="s">
        <v>1695</v>
      </c>
      <c r="BV24" s="990"/>
      <c r="BW24" s="990"/>
      <c r="CC24" s="1197">
        <v>25575374</v>
      </c>
      <c r="CD24" s="988" t="s">
        <v>1696</v>
      </c>
    </row>
    <row r="25" spans="1:82" ht="11.25" customHeight="1">
      <c r="A25" s="994" t="s">
        <v>1697</v>
      </c>
      <c r="B25" s="995">
        <v>2023</v>
      </c>
      <c r="AW25" s="1037" t="s">
        <v>1698</v>
      </c>
      <c r="AX25" s="1037" t="s">
        <v>1698</v>
      </c>
      <c r="AZ25" s="1037" t="s">
        <v>1092</v>
      </c>
      <c r="BB25" s="1037" t="s">
        <v>1699</v>
      </c>
      <c r="BC25" s="1037" t="s">
        <v>1693</v>
      </c>
      <c r="BE25" s="2316">
        <v>2021</v>
      </c>
      <c r="BH25" s="988" t="s">
        <v>1625</v>
      </c>
      <c r="BJ25" s="988" t="s">
        <v>1650</v>
      </c>
      <c r="BL25" s="988" t="s">
        <v>1650</v>
      </c>
      <c r="BQ25" s="1197">
        <v>4190070</v>
      </c>
      <c r="BR25" s="988" t="s">
        <v>1700</v>
      </c>
      <c r="BS25" s="1345"/>
      <c r="BT25" s="1197">
        <v>4189677</v>
      </c>
      <c r="BU25" s="988" t="s">
        <v>1701</v>
      </c>
      <c r="BV25" s="990"/>
      <c r="BW25" s="990"/>
    </row>
    <row r="26" spans="1:82" ht="11.25" customHeight="1">
      <c r="A26" s="994" t="s">
        <v>1702</v>
      </c>
      <c r="B26" s="995">
        <v>2024</v>
      </c>
      <c r="J26" s="1646" t="s">
        <v>1703</v>
      </c>
      <c r="AX26" s="1037" t="s">
        <v>1704</v>
      </c>
      <c r="AZ26" s="1037" t="s">
        <v>1572</v>
      </c>
      <c r="BB26" s="1037" t="s">
        <v>1705</v>
      </c>
      <c r="BC26" s="1037" t="s">
        <v>1693</v>
      </c>
      <c r="BE26" s="2316">
        <v>2022</v>
      </c>
      <c r="BH26" s="988" t="s">
        <v>1636</v>
      </c>
      <c r="BJ26" s="988" t="s">
        <v>1588</v>
      </c>
      <c r="BL26" s="988" t="s">
        <v>1588</v>
      </c>
      <c r="BQ26" s="1197">
        <v>4190071</v>
      </c>
      <c r="BR26" s="988" t="s">
        <v>1706</v>
      </c>
      <c r="BS26" s="1345"/>
      <c r="BV26" s="990"/>
      <c r="BW26" s="990"/>
    </row>
    <row r="27" spans="1:82" ht="11.25" customHeight="1">
      <c r="A27" s="994" t="s">
        <v>1707</v>
      </c>
      <c r="B27" s="995">
        <v>2025</v>
      </c>
      <c r="J27" s="113" t="s">
        <v>568</v>
      </c>
      <c r="AX27" s="1037" t="s">
        <v>1708</v>
      </c>
      <c r="BB27" s="1037" t="s">
        <v>1709</v>
      </c>
      <c r="BC27" s="1037" t="s">
        <v>1693</v>
      </c>
      <c r="BE27" s="2316">
        <v>2023</v>
      </c>
      <c r="BH27" s="990" t="s">
        <v>22</v>
      </c>
      <c r="BJ27" s="988" t="s">
        <v>1594</v>
      </c>
      <c r="BL27" s="988" t="s">
        <v>1594</v>
      </c>
      <c r="BN27" s="990" t="s">
        <v>22</v>
      </c>
      <c r="BQ27" s="1197">
        <v>4190072</v>
      </c>
      <c r="BR27" s="988" t="s">
        <v>1710</v>
      </c>
      <c r="BS27" s="1345"/>
      <c r="BV27" s="990"/>
      <c r="BW27" s="990"/>
    </row>
    <row r="28" spans="1:82" ht="11.25" customHeight="1">
      <c r="A28" s="994" t="s">
        <v>1711</v>
      </c>
      <c r="D28" s="1019"/>
      <c r="E28" s="1020"/>
      <c r="F28" s="1020"/>
      <c r="H28" s="1021" t="s">
        <v>1712</v>
      </c>
      <c r="AX28" s="1037" t="s">
        <v>1713</v>
      </c>
      <c r="AZ28" s="987" t="s">
        <v>1714</v>
      </c>
      <c r="BB28" s="1037" t="s">
        <v>1715</v>
      </c>
      <c r="BC28" s="1037" t="s">
        <v>1716</v>
      </c>
      <c r="BE28" s="2316">
        <v>2024</v>
      </c>
      <c r="BH28" s="990" t="s">
        <v>22</v>
      </c>
      <c r="BJ28" s="988" t="s">
        <v>1602</v>
      </c>
      <c r="BL28" s="988" t="s">
        <v>1602</v>
      </c>
      <c r="BN28" s="990" t="s">
        <v>22</v>
      </c>
      <c r="BQ28" s="1197">
        <v>4190073</v>
      </c>
      <c r="BR28" s="988" t="s">
        <v>1717</v>
      </c>
      <c r="BS28" s="1345"/>
      <c r="BV28" s="990"/>
      <c r="BW28" s="990"/>
    </row>
    <row r="29" spans="1:82" ht="11.25" customHeight="1">
      <c r="A29" s="994" t="s">
        <v>1718</v>
      </c>
      <c r="D29" s="1022" t="s">
        <v>1719</v>
      </c>
      <c r="E29" s="1023" t="str">
        <f>IF(TEMPLATE_GROUP="","",INDEX(StartDateList,MATCH(TEMPLATE_GROUP,CodeTemplateList,0),1))</f>
        <v>01.01.2023</v>
      </c>
      <c r="F29" s="1023" t="str">
        <f>IF(TEMPLATE_GROUP="","",INDEX(EndDateList,MATCH(TEMPLATE_GROUP,CodeTemplateList,0),1))</f>
        <v>31.12.2023</v>
      </c>
      <c r="H29" s="1024" t="s">
        <v>1720</v>
      </c>
      <c r="AX29" s="1037" t="s">
        <v>1721</v>
      </c>
      <c r="AZ29" s="1037" t="s">
        <v>1376</v>
      </c>
      <c r="BB29" s="1037" t="s">
        <v>1572</v>
      </c>
      <c r="BC29" s="1010"/>
      <c r="BE29" s="2316">
        <v>2025</v>
      </c>
      <c r="BJ29" s="988" t="s">
        <v>1610</v>
      </c>
      <c r="BL29" s="988" t="s">
        <v>1610</v>
      </c>
    </row>
    <row r="30" spans="1:82" ht="11.25" customHeight="1">
      <c r="A30" s="994" t="s">
        <v>1722</v>
      </c>
      <c r="D30" s="1025"/>
      <c r="E30" s="1026"/>
      <c r="F30" s="1026"/>
      <c r="AX30" s="1037" t="s">
        <v>1723</v>
      </c>
      <c r="AZ30" s="1037" t="s">
        <v>1401</v>
      </c>
      <c r="BE30" s="2316">
        <v>2026</v>
      </c>
      <c r="BJ30" s="988" t="s">
        <v>1724</v>
      </c>
      <c r="BL30" s="988" t="s">
        <v>1724</v>
      </c>
    </row>
    <row r="31" spans="1:82" ht="12.75" customHeight="1">
      <c r="A31" s="994" t="s">
        <v>1725</v>
      </c>
      <c r="D31" s="1019"/>
      <c r="E31" s="1020"/>
      <c r="F31" s="1020"/>
      <c r="H31" s="1027"/>
      <c r="AX31" s="1037" t="s">
        <v>1726</v>
      </c>
      <c r="AZ31" s="1037" t="s">
        <v>1727</v>
      </c>
      <c r="BE31" s="2316">
        <v>2027</v>
      </c>
      <c r="BJ31" s="988" t="s">
        <v>1728</v>
      </c>
      <c r="BL31" s="988" t="s">
        <v>1728</v>
      </c>
    </row>
    <row r="32" spans="1:82" ht="11.25" customHeight="1">
      <c r="A32" s="994" t="s">
        <v>1729</v>
      </c>
      <c r="D32" s="1022" t="s">
        <v>1730</v>
      </c>
      <c r="E32" s="1023" t="str">
        <f>IF(TEMPLATE_GROUP="","",INDEX(StartDateList,MATCH(TEMPLATE_GROUP,CodeTemplateList,0),1))</f>
        <v>01.01.2023</v>
      </c>
      <c r="F32" s="1023" t="str">
        <f>IF(TEMPLATE_GROUP="","",INDEX(EndDateList,MATCH(TEMPLATE_GROUP,CodeTemplateList,0),1))</f>
        <v>31.12.2023</v>
      </c>
      <c r="H32" s="1028" t="s">
        <v>1731</v>
      </c>
      <c r="O32" s="994" t="s">
        <v>1374</v>
      </c>
      <c r="AX32" s="1037" t="s">
        <v>1732</v>
      </c>
      <c r="AZ32" s="1037" t="s">
        <v>1468</v>
      </c>
      <c r="BE32" s="2316">
        <v>2028</v>
      </c>
      <c r="BJ32" s="988" t="s">
        <v>1619</v>
      </c>
      <c r="BL32" s="988" t="s">
        <v>1619</v>
      </c>
    </row>
    <row r="33" spans="1:66" ht="11.25" customHeight="1">
      <c r="A33" s="994" t="s">
        <v>1733</v>
      </c>
      <c r="O33" s="994" t="s">
        <v>1398</v>
      </c>
      <c r="AX33" s="1037" t="s">
        <v>1734</v>
      </c>
      <c r="AZ33" s="1037" t="s">
        <v>1375</v>
      </c>
      <c r="BE33" s="2316">
        <v>2029</v>
      </c>
      <c r="BJ33" s="988" t="s">
        <v>1625</v>
      </c>
      <c r="BL33" s="988" t="s">
        <v>1625</v>
      </c>
    </row>
    <row r="34" spans="1:66" ht="11.25" customHeight="1">
      <c r="A34" s="994" t="s">
        <v>1735</v>
      </c>
      <c r="O34" s="994" t="s">
        <v>1433</v>
      </c>
      <c r="AX34" s="1037" t="s">
        <v>1736</v>
      </c>
      <c r="BE34" s="2316">
        <v>2030</v>
      </c>
      <c r="BJ34" s="988" t="s">
        <v>1636</v>
      </c>
      <c r="BL34" s="988" t="s">
        <v>1636</v>
      </c>
    </row>
    <row r="35" spans="1:66" ht="11.25" customHeight="1">
      <c r="A35" s="994" t="s">
        <v>1737</v>
      </c>
      <c r="O35" s="994" t="s">
        <v>1466</v>
      </c>
      <c r="AX35" s="1037" t="s">
        <v>1738</v>
      </c>
      <c r="AZ35" s="987" t="s">
        <v>1739</v>
      </c>
      <c r="BE35" s="2316">
        <v>2031</v>
      </c>
      <c r="BL35" s="988" t="s">
        <v>1740</v>
      </c>
    </row>
    <row r="36" spans="1:66" ht="11.25" customHeight="1">
      <c r="A36" s="1782" t="s">
        <v>1741</v>
      </c>
      <c r="D36" s="1029" t="s">
        <v>1742</v>
      </c>
      <c r="E36" s="1030" t="s">
        <v>913</v>
      </c>
      <c r="F36" s="1031" t="str">
        <f>INDEX(E37:E41,MATCH(TEMPLATE_SPHERE,F37:F41,0))</f>
        <v>теплоснабжения</v>
      </c>
      <c r="G36" s="1031" t="str">
        <f>INDEX(G37:G41,MATCH(TEMPLATE_SPHERE,F37:F41,0))</f>
        <v>теплоснабжение</v>
      </c>
      <c r="O36" s="994" t="s">
        <v>1490</v>
      </c>
      <c r="AX36" s="1037" t="s">
        <v>1743</v>
      </c>
      <c r="AZ36" s="1037" t="s">
        <v>1375</v>
      </c>
      <c r="BE36" s="2316">
        <v>2032</v>
      </c>
      <c r="BL36" s="988" t="s">
        <v>1744</v>
      </c>
    </row>
    <row r="37" spans="1:66" ht="11.25" customHeight="1">
      <c r="A37" s="994" t="s">
        <v>1745</v>
      </c>
      <c r="E37" s="343" t="s">
        <v>1746</v>
      </c>
      <c r="F37" s="1032" t="s">
        <v>913</v>
      </c>
      <c r="G37" s="343" t="s">
        <v>1747</v>
      </c>
      <c r="O37" s="994" t="s">
        <v>1509</v>
      </c>
      <c r="AX37" s="1037" t="s">
        <v>1748</v>
      </c>
      <c r="AZ37" s="1037" t="s">
        <v>1400</v>
      </c>
      <c r="BE37" s="2316">
        <v>2033</v>
      </c>
    </row>
    <row r="38" spans="1:66" ht="11.25" customHeight="1">
      <c r="A38" s="994" t="s">
        <v>1749</v>
      </c>
      <c r="E38" s="343" t="s">
        <v>1750</v>
      </c>
      <c r="F38" s="1033" t="s">
        <v>961</v>
      </c>
      <c r="G38" s="343" t="s">
        <v>1751</v>
      </c>
      <c r="O38" s="994" t="s">
        <v>1526</v>
      </c>
      <c r="AX38" s="1037" t="s">
        <v>1752</v>
      </c>
      <c r="AZ38" s="1037" t="s">
        <v>1434</v>
      </c>
      <c r="BE38" s="2316">
        <v>2034</v>
      </c>
      <c r="BH38" s="987" t="s">
        <v>1753</v>
      </c>
      <c r="BJ38" s="987" t="s">
        <v>1754</v>
      </c>
      <c r="BL38" s="987" t="s">
        <v>1755</v>
      </c>
      <c r="BN38" s="987" t="s">
        <v>1756</v>
      </c>
    </row>
    <row r="39" spans="1:66" ht="11.25" customHeight="1">
      <c r="A39" s="994" t="s">
        <v>1757</v>
      </c>
      <c r="E39" s="343" t="s">
        <v>1758</v>
      </c>
      <c r="F39" s="1033" t="s">
        <v>1014</v>
      </c>
      <c r="G39" s="343" t="s">
        <v>1759</v>
      </c>
      <c r="O39" s="994" t="s">
        <v>1540</v>
      </c>
      <c r="AX39" s="1037" t="s">
        <v>1760</v>
      </c>
      <c r="AZ39" s="1037" t="s">
        <v>1467</v>
      </c>
      <c r="BE39" s="2316">
        <v>2035</v>
      </c>
      <c r="BH39" s="988" t="s">
        <v>1761</v>
      </c>
      <c r="BJ39" s="1133" t="s">
        <v>1761</v>
      </c>
      <c r="BL39" s="1133" t="s">
        <v>1761</v>
      </c>
      <c r="BN39" s="988" t="s">
        <v>1762</v>
      </c>
    </row>
    <row r="40" spans="1:66" ht="11.25" customHeight="1">
      <c r="A40" s="994" t="s">
        <v>1763</v>
      </c>
      <c r="E40" s="343" t="s">
        <v>1764</v>
      </c>
      <c r="F40" s="1033" t="s">
        <v>1001</v>
      </c>
      <c r="G40" s="343" t="s">
        <v>1765</v>
      </c>
      <c r="O40" s="994" t="s">
        <v>1556</v>
      </c>
      <c r="AX40" s="1037" t="s">
        <v>1766</v>
      </c>
      <c r="BE40" s="2316">
        <v>2036</v>
      </c>
      <c r="BH40" s="988" t="s">
        <v>1767</v>
      </c>
      <c r="BJ40" s="1133" t="s">
        <v>1184</v>
      </c>
      <c r="BL40" s="1133" t="s">
        <v>1184</v>
      </c>
      <c r="BN40" s="988" t="s">
        <v>1218</v>
      </c>
    </row>
    <row r="41" spans="1:66" ht="11.25" customHeight="1">
      <c r="A41" s="994" t="s">
        <v>1768</v>
      </c>
      <c r="E41" s="343" t="s">
        <v>1769</v>
      </c>
      <c r="F41" s="1033" t="s">
        <v>1770</v>
      </c>
      <c r="G41" s="343" t="s">
        <v>1769</v>
      </c>
      <c r="O41" s="994" t="s">
        <v>1572</v>
      </c>
      <c r="AX41" s="1037" t="s">
        <v>1771</v>
      </c>
      <c r="AZ41" s="987" t="s">
        <v>1772</v>
      </c>
      <c r="BE41" s="2316">
        <v>2037</v>
      </c>
      <c r="BH41" s="988" t="s">
        <v>1773</v>
      </c>
      <c r="BJ41" s="1133" t="s">
        <v>1180</v>
      </c>
      <c r="BL41" s="1133" t="s">
        <v>1180</v>
      </c>
      <c r="BN41" s="988" t="s">
        <v>1205</v>
      </c>
    </row>
    <row r="42" spans="1:66" ht="11.25" customHeight="1">
      <c r="A42" s="994" t="s">
        <v>1774</v>
      </c>
      <c r="AX42" s="1037" t="s">
        <v>1775</v>
      </c>
      <c r="AZ42" s="1037" t="s">
        <v>1374</v>
      </c>
      <c r="BE42" s="2316">
        <v>2038</v>
      </c>
      <c r="BH42" s="988" t="s">
        <v>1202</v>
      </c>
      <c r="BJ42" s="1133" t="s">
        <v>1182</v>
      </c>
      <c r="BL42" s="1133" t="s">
        <v>1182</v>
      </c>
      <c r="BN42" s="988" t="s">
        <v>1776</v>
      </c>
    </row>
    <row r="43" spans="1:66" ht="11.25" customHeight="1">
      <c r="A43" s="994" t="s">
        <v>1777</v>
      </c>
      <c r="AX43" s="1037" t="s">
        <v>1778</v>
      </c>
      <c r="AZ43" s="1037" t="s">
        <v>1398</v>
      </c>
      <c r="BE43" s="2316">
        <v>2039</v>
      </c>
      <c r="BH43" s="988" t="s">
        <v>1779</v>
      </c>
      <c r="BJ43" s="1133" t="s">
        <v>1773</v>
      </c>
      <c r="BL43" s="1133" t="s">
        <v>1773</v>
      </c>
      <c r="BN43" s="988" t="s">
        <v>1780</v>
      </c>
    </row>
    <row r="44" spans="1:66" ht="11.25" customHeight="1">
      <c r="A44" s="994" t="s">
        <v>1781</v>
      </c>
      <c r="G44" s="1013">
        <f ca="1">YEAR(TODAY())</f>
        <v>2024</v>
      </c>
      <c r="I44" s="729" t="s">
        <v>1782</v>
      </c>
      <c r="J44" s="1009" t="s">
        <v>1783</v>
      </c>
      <c r="K44" s="1009" t="s">
        <v>1784</v>
      </c>
      <c r="AX44" s="1037" t="s">
        <v>1785</v>
      </c>
      <c r="AZ44" s="1037" t="s">
        <v>1433</v>
      </c>
      <c r="BE44" s="2316">
        <v>2040</v>
      </c>
      <c r="BH44" s="988" t="s">
        <v>1786</v>
      </c>
      <c r="BJ44" s="1133" t="s">
        <v>1202</v>
      </c>
      <c r="BL44" s="1133" t="s">
        <v>1202</v>
      </c>
      <c r="BN44" s="988" t="s">
        <v>1787</v>
      </c>
    </row>
    <row r="45" spans="1:66" ht="11.25" customHeight="1">
      <c r="A45" s="994" t="s">
        <v>1788</v>
      </c>
      <c r="D45" s="1029" t="s">
        <v>1789</v>
      </c>
      <c r="E45" s="1030" t="s">
        <v>1790</v>
      </c>
      <c r="F45" s="727" t="s">
        <v>1791</v>
      </c>
      <c r="G45" s="726" t="s">
        <v>1792</v>
      </c>
      <c r="H45" s="729" t="s">
        <v>1793</v>
      </c>
      <c r="I45" s="1656" t="b">
        <f>INDEX(PeriodIsEmptyList,MATCH(TEMPLATE_GROUP,CodeTemplateList,0),1)</f>
        <v>0</v>
      </c>
      <c r="J45" s="165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7" t="s">
        <v>1794</v>
      </c>
      <c r="AZ45" s="1037" t="s">
        <v>1466</v>
      </c>
      <c r="BE45" s="2316">
        <v>2041</v>
      </c>
      <c r="BH45" s="988" t="s">
        <v>1795</v>
      </c>
      <c r="BJ45" s="1133" t="s">
        <v>1196</v>
      </c>
      <c r="BL45" s="1133" t="s">
        <v>1196</v>
      </c>
      <c r="BN45" s="988" t="s">
        <v>1796</v>
      </c>
    </row>
    <row r="46" spans="1:66" ht="11.25" customHeight="1">
      <c r="A46" s="994" t="s">
        <v>1797</v>
      </c>
      <c r="E46" s="343" t="s">
        <v>27</v>
      </c>
      <c r="F46" s="1032" t="s">
        <v>1798</v>
      </c>
      <c r="G46" s="1034" t="str">
        <f ca="1">IFERROR(IF(TITLE_DATE_FIL="","01.01."&amp;CURRENT_YEAR,"01.01."&amp;YEAR(TITLE_DATE_FIL)),"01.01."&amp;CURRENT_YEAR)</f>
        <v>01.01.2024</v>
      </c>
      <c r="H46" s="1034" t="str">
        <f ca="1">IFERROR(IF(TITLE_DATE_FIL="","31.12."&amp;CURRENT_YEAR,"31.12."&amp;YEAR(TITLE_DATE_FIL)),"31.12."&amp;CURRENT_YEAR)</f>
        <v>31.12.2024</v>
      </c>
      <c r="I46" s="1657" t="b">
        <f>IF(TITLE_DATE_FIL="",TRUE,FALSE)</f>
        <v>1</v>
      </c>
      <c r="J46" s="1660" t="str">
        <f>"Общая информация о регулируемой организации ("&amp;TEMPLATE_SPHERE_RUS&amp;")"</f>
        <v>Общая информация о регулируемой организации (теплоснабжения)</v>
      </c>
      <c r="K46" s="1661"/>
      <c r="AX46" s="1037" t="s">
        <v>1799</v>
      </c>
      <c r="AZ46" s="1037" t="s">
        <v>1490</v>
      </c>
      <c r="BE46" s="2316">
        <v>2042</v>
      </c>
      <c r="BH46" s="988" t="s">
        <v>1205</v>
      </c>
      <c r="BJ46" s="1133" t="s">
        <v>1186</v>
      </c>
      <c r="BL46" s="1133" t="s">
        <v>1186</v>
      </c>
      <c r="BN46" s="988" t="s">
        <v>1800</v>
      </c>
    </row>
    <row r="47" spans="1:66" ht="11.25" customHeight="1">
      <c r="A47" s="994" t="s">
        <v>1801</v>
      </c>
      <c r="E47" s="343" t="s">
        <v>33</v>
      </c>
      <c r="F47" s="1033" t="s">
        <v>1802</v>
      </c>
      <c r="G47" s="1034" t="str">
        <f>IFERROR(IF(f_year="","01.01."&amp;CURRENT_YEAR,IF(LEN(f_quart)=0,"01.01."&amp;f_year,IF(f_quart="I квартал","01.01."&amp;f_year,IF(f_quart="II квартал","01.04."&amp;f_year,(IF(f_quart="III квартал","01.07."&amp;f_year,"01.10."&amp;f_year)))))),"01.01."&amp;CURRENT_YEAR)</f>
        <v>01.01.2023</v>
      </c>
      <c r="H47" s="1034" t="str">
        <f>IFERROR(IF(f_year="","31.12."&amp;CURRENT_YEAR,IF(LEN(f_quart)=0,"31.12."&amp;f_year,IF(f_quart="I квартал","31.03."&amp;f_year,IF(f_quart="II квартал","30.06."&amp;f_year,(IF(f_quart="III квартал","30.09."&amp;f_year,"31.12."&amp;f_year)))))),"31.12."&amp;CURRENT_YEAR)</f>
        <v>31.12.2023</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1"/>
      <c r="AX47" s="1037" t="s">
        <v>1803</v>
      </c>
      <c r="AZ47" s="1037" t="s">
        <v>1509</v>
      </c>
      <c r="BE47" s="2316">
        <v>2043</v>
      </c>
      <c r="BH47" s="988" t="s">
        <v>1776</v>
      </c>
      <c r="BJ47" s="1133" t="s">
        <v>1188</v>
      </c>
      <c r="BL47" s="1133" t="s">
        <v>1188</v>
      </c>
      <c r="BN47" s="988" t="s">
        <v>1804</v>
      </c>
    </row>
    <row r="48" spans="1:66" ht="11.25" customHeight="1">
      <c r="A48" s="994" t="s">
        <v>1805</v>
      </c>
      <c r="E48" s="343" t="s">
        <v>1806</v>
      </c>
      <c r="F48" s="1033" t="s">
        <v>1790</v>
      </c>
      <c r="G48" s="1034" t="str">
        <f>IFERROR(IF(f_year="","01.01."&amp;CURRENT_YEAR,"01.01."&amp;f_year),"01.01."&amp;CURRENT_YEAR)</f>
        <v>01.01.2023</v>
      </c>
      <c r="H48" s="1034" t="str">
        <f>IFERROR(IF(f_year="","31.12."&amp;CURRENT_YEAR,"31.12."&amp;f_year),"31.12."&amp;CURRENT_YEAR)</f>
        <v>31.12.2023</v>
      </c>
      <c r="I48" s="1657" t="b">
        <f>IF(f_year="",TRUE,FALSE)</f>
        <v>0</v>
      </c>
      <c r="J48" s="1660" t="s">
        <v>1807</v>
      </c>
      <c r="K48" s="1661"/>
      <c r="AX48" s="1037" t="s">
        <v>1808</v>
      </c>
      <c r="AZ48" s="1037" t="s">
        <v>1526</v>
      </c>
      <c r="BE48" s="2316">
        <v>2044</v>
      </c>
      <c r="BH48" s="988" t="s">
        <v>1780</v>
      </c>
      <c r="BJ48" s="1133" t="s">
        <v>1190</v>
      </c>
      <c r="BL48" s="1133" t="s">
        <v>1190</v>
      </c>
      <c r="BN48" s="988" t="s">
        <v>1809</v>
      </c>
    </row>
    <row r="49" spans="1:64" ht="11.25" customHeight="1">
      <c r="A49" s="994" t="s">
        <v>1810</v>
      </c>
      <c r="E49" s="343" t="s">
        <v>1811</v>
      </c>
      <c r="F49" s="1033" t="s">
        <v>1812</v>
      </c>
      <c r="G49" s="1034" t="str">
        <f>IFERROR(IF(f_year="","01.01."&amp;CURRENT_YEAR,"01.01."&amp;f_year),"01.01."&amp;CURRENT_YEAR)</f>
        <v>01.01.2023</v>
      </c>
      <c r="H49" s="1034" t="str">
        <f>IFERROR(IF(f_year="","31.12."&amp;CURRENT_YEAR,"31.12."&amp;f_year),"31.12."&amp;CURRENT_YEAR)</f>
        <v>31.12.2023</v>
      </c>
      <c r="I49" s="1657" t="b">
        <f>IF(f_year="",TRUE,FALSE)</f>
        <v>0</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1"/>
      <c r="AX49" s="1037" t="s">
        <v>1813</v>
      </c>
      <c r="AZ49" s="1037" t="s">
        <v>1540</v>
      </c>
      <c r="BE49" s="2316">
        <v>2045</v>
      </c>
      <c r="BH49" s="988" t="s">
        <v>1206</v>
      </c>
      <c r="BJ49" s="1133" t="s">
        <v>1192</v>
      </c>
      <c r="BL49" s="1133" t="s">
        <v>1192</v>
      </c>
    </row>
    <row r="50" spans="1:64" ht="11.25" customHeight="1">
      <c r="A50" s="994" t="s">
        <v>1814</v>
      </c>
      <c r="E50" s="343" t="s">
        <v>1815</v>
      </c>
      <c r="F50" s="1033" t="s">
        <v>1176</v>
      </c>
      <c r="G50" s="1034" t="str">
        <f>IFERROR(IF(f_year="","01.01."&amp;CURRENT_YEAR,"01.01."&amp;f_year),"01.01."&amp;CURRENT_YEAR)</f>
        <v>01.01.2023</v>
      </c>
      <c r="H50" s="1034" t="str">
        <f>IFERROR(IF(f_year="","31.12."&amp;CURRENT_YEAR,"31.12."&amp;f_year),"31.12."&amp;CURRENT_YEAR)</f>
        <v>31.12.2023</v>
      </c>
      <c r="I50" s="1657" t="b">
        <f>IF(f_year="",TRUE,FALSE)</f>
        <v>0</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1"/>
      <c r="AX50" s="1037" t="s">
        <v>1816</v>
      </c>
      <c r="AZ50" s="1037" t="s">
        <v>1556</v>
      </c>
      <c r="BE50" s="2316">
        <v>2046</v>
      </c>
      <c r="BH50" s="988" t="s">
        <v>1787</v>
      </c>
      <c r="BJ50" s="1133" t="s">
        <v>1194</v>
      </c>
      <c r="BL50" s="1133" t="s">
        <v>1194</v>
      </c>
    </row>
    <row r="51" spans="1:64" ht="11.25" customHeight="1">
      <c r="A51" s="994" t="s">
        <v>1817</v>
      </c>
      <c r="E51" s="343" t="s">
        <v>1818</v>
      </c>
      <c r="F51" s="1033" t="s">
        <v>1819</v>
      </c>
      <c r="G51" s="1034" t="str">
        <f ca="1">IFERROR(IF(TITLE_PERIOD_START="","01.01."&amp;CURRENT_YEAR,"01.01."&amp;YEAR(TITLE_PERIOD_START)),"01.01."&amp;CURRENT_YEAR)</f>
        <v>01.01.2024</v>
      </c>
      <c r="H51" s="1034" t="str">
        <f ca="1">IFERROR(IF(TITLE_PERIOD_END="","31.12."&amp;CURRENT_YEAR,"31.12."&amp;YEAR(TITLE_PERIOD_END)),"31.12."&amp;CURRENT_YEAR)</f>
        <v>31.12.2024</v>
      </c>
      <c r="I51" s="1658" t="b">
        <f>IF(OR(TITLE_PERIOD_START="",TITLE_PERIOD_END=""),TRUE,FALSE)</f>
        <v>1</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7" t="s">
        <v>1820</v>
      </c>
      <c r="AZ51" s="1037" t="s">
        <v>1572</v>
      </c>
      <c r="BE51" s="2316">
        <v>2047</v>
      </c>
      <c r="BH51" s="988" t="s">
        <v>1796</v>
      </c>
      <c r="BJ51" s="1133" t="s">
        <v>1821</v>
      </c>
      <c r="BL51" s="1133" t="s">
        <v>1821</v>
      </c>
    </row>
    <row r="52" spans="1:64" ht="11.25" customHeight="1">
      <c r="A52" s="994" t="s">
        <v>1822</v>
      </c>
      <c r="E52" s="343" t="s">
        <v>1823</v>
      </c>
      <c r="F52" s="1033" t="s">
        <v>1824</v>
      </c>
      <c r="G52" s="1034" t="str">
        <f ca="1">IFERROR(IF(TITLE_PERIOD_START="","01.01."&amp;CURRENT_YEAR,"01.01."&amp;YEAR(TITLE_PERIOD_START)),"01.01."&amp;CURRENT_YEAR)</f>
        <v>01.01.2024</v>
      </c>
      <c r="H52" s="1034" t="str">
        <f ca="1">IFERROR(IF(TITLE_PERIOD_END="","31.12."&amp;CURRENT_YEAR,"31.12."&amp;YEAR(TITLE_PERIOD_END)),"31.12."&amp;CURRENT_YEAR)</f>
        <v>31.12.2024</v>
      </c>
      <c r="I52" s="1658" t="b">
        <f>IF(OR(TITLE_PERIOD_START="",TITLE_PERIOD_END=""),TRUE,FALSE)</f>
        <v>1</v>
      </c>
      <c r="J52" s="1660" t="str">
        <f>"Показатели, подлежащие раскрытию в сфере "&amp;TEMPLATE_SPHERE_RUS&amp;" (цены и тарифы)"</f>
        <v>Показатели, подлежащие раскрытию в сфере теплоснабжения (цены и тарифы)</v>
      </c>
      <c r="K52" s="1661"/>
      <c r="AX52" s="1037" t="s">
        <v>1825</v>
      </c>
      <c r="AZ52" s="1037" t="s">
        <v>1375</v>
      </c>
      <c r="BE52" s="2316">
        <v>2048</v>
      </c>
      <c r="BH52" s="988" t="s">
        <v>1800</v>
      </c>
      <c r="BJ52" s="1133" t="s">
        <v>1205</v>
      </c>
      <c r="BL52" s="1133" t="s">
        <v>1205</v>
      </c>
    </row>
    <row r="53" spans="1:64" ht="11.25" customHeight="1">
      <c r="A53" s="994" t="s">
        <v>1826</v>
      </c>
      <c r="E53" s="343" t="s">
        <v>1827</v>
      </c>
      <c r="F53" s="1033" t="s">
        <v>1827</v>
      </c>
      <c r="G53" s="1034" t="str">
        <f>IFERROR(IF(f_year="","01.01."&amp;CURRENT_YEAR,"01.01."&amp;f_year),"01.01."&amp;CURRENT_YEAR)</f>
        <v>01.01.2023</v>
      </c>
      <c r="H53" s="1034" t="str">
        <f>IFERROR(IF(f_year="","31.12."&amp;CURRENT_YEAR,"31.12."&amp;f_year),"31.12."&amp;CURRENT_YEAR)</f>
        <v>31.12.2023</v>
      </c>
      <c r="I53" s="1657" t="b">
        <f>IF(AND(f_year="",TITLE_DATE_FIL=""),TRUE,FALSE)</f>
        <v>0</v>
      </c>
      <c r="J53" s="1660" t="s">
        <v>1828</v>
      </c>
      <c r="K53" s="1661"/>
      <c r="AX53" s="1037" t="s">
        <v>1829</v>
      </c>
      <c r="BE53" s="2316">
        <v>2049</v>
      </c>
      <c r="BH53" s="988" t="s">
        <v>1804</v>
      </c>
      <c r="BJ53" s="1133" t="s">
        <v>1776</v>
      </c>
      <c r="BL53" s="1133" t="s">
        <v>1776</v>
      </c>
    </row>
    <row r="54" spans="1:64" ht="11.25" customHeight="1">
      <c r="A54" s="994" t="s">
        <v>1830</v>
      </c>
      <c r="AX54" s="1037" t="s">
        <v>1831</v>
      </c>
      <c r="AZ54" s="987" t="s">
        <v>1832</v>
      </c>
      <c r="BE54" s="2316">
        <v>2050</v>
      </c>
      <c r="BH54" s="988" t="s">
        <v>1809</v>
      </c>
      <c r="BJ54" s="1133" t="s">
        <v>1780</v>
      </c>
      <c r="BL54" s="1133" t="s">
        <v>1780</v>
      </c>
    </row>
    <row r="55" spans="1:64" ht="11.25" customHeight="1">
      <c r="A55" s="994" t="s">
        <v>1833</v>
      </c>
      <c r="AX55" s="1037" t="s">
        <v>1834</v>
      </c>
      <c r="AZ55" s="1037" t="s">
        <v>1377</v>
      </c>
      <c r="BE55" s="2316">
        <v>2051</v>
      </c>
      <c r="BH55" s="990" t="s">
        <v>22</v>
      </c>
      <c r="BJ55" s="1133" t="s">
        <v>1206</v>
      </c>
      <c r="BL55" s="1133" t="s">
        <v>1206</v>
      </c>
    </row>
    <row r="56" spans="1:64" ht="11.25" customHeight="1">
      <c r="A56" s="994" t="s">
        <v>1835</v>
      </c>
      <c r="D56" s="1036" t="s">
        <v>1836</v>
      </c>
      <c r="E56" s="1014" t="s">
        <v>111</v>
      </c>
      <c r="F56" s="994" t="s">
        <v>1837</v>
      </c>
      <c r="AX56" s="1037" t="s">
        <v>1838</v>
      </c>
      <c r="AZ56" s="1037" t="s">
        <v>1402</v>
      </c>
      <c r="BE56" s="2316">
        <v>2052</v>
      </c>
      <c r="BH56" s="990" t="s">
        <v>22</v>
      </c>
      <c r="BJ56" s="1133" t="s">
        <v>1787</v>
      </c>
      <c r="BL56" s="1133" t="s">
        <v>1787</v>
      </c>
    </row>
    <row r="57" spans="1:64" ht="11.25" customHeight="1">
      <c r="A57" s="994" t="s">
        <v>1839</v>
      </c>
      <c r="D57" s="1036" t="s">
        <v>1840</v>
      </c>
      <c r="E57" s="1014" t="s">
        <v>111</v>
      </c>
      <c r="F57" s="994" t="s">
        <v>1837</v>
      </c>
      <c r="AX57" s="1037" t="s">
        <v>1167</v>
      </c>
      <c r="AZ57" s="1037" t="s">
        <v>1436</v>
      </c>
      <c r="BE57" s="2316">
        <v>2053</v>
      </c>
      <c r="BJ57" s="1133" t="s">
        <v>1796</v>
      </c>
      <c r="BL57" s="1133" t="s">
        <v>1796</v>
      </c>
    </row>
    <row r="58" spans="1:64" ht="11.25" customHeight="1">
      <c r="A58" s="994" t="s">
        <v>1841</v>
      </c>
      <c r="D58" s="1036" t="s">
        <v>1842</v>
      </c>
      <c r="E58" s="1014" t="s">
        <v>1829</v>
      </c>
      <c r="F58" s="994" t="s">
        <v>1837</v>
      </c>
      <c r="AX58" s="1037" t="s">
        <v>1843</v>
      </c>
      <c r="BE58" s="2316">
        <v>2054</v>
      </c>
      <c r="BJ58" s="1133" t="s">
        <v>1800</v>
      </c>
      <c r="BL58" s="1133" t="s">
        <v>1800</v>
      </c>
    </row>
    <row r="59" spans="1:64" ht="11.25" customHeight="1">
      <c r="A59" s="994" t="s">
        <v>1844</v>
      </c>
      <c r="D59" s="1036" t="s">
        <v>132</v>
      </c>
      <c r="E59" s="1014" t="s">
        <v>1732</v>
      </c>
      <c r="F59" s="994" t="s">
        <v>1845</v>
      </c>
      <c r="AX59" s="1037" t="s">
        <v>1846</v>
      </c>
      <c r="AZ59" s="987" t="s">
        <v>1847</v>
      </c>
      <c r="BE59" s="2316">
        <v>2055</v>
      </c>
      <c r="BJ59" s="1133" t="s">
        <v>1804</v>
      </c>
      <c r="BL59" s="1133" t="s">
        <v>1804</v>
      </c>
    </row>
    <row r="60" spans="1:64" ht="11.25" customHeight="1">
      <c r="A60" s="994" t="s">
        <v>1848</v>
      </c>
      <c r="D60" s="1036" t="s">
        <v>1849</v>
      </c>
      <c r="E60" s="1014" t="s">
        <v>1732</v>
      </c>
      <c r="F60" s="994" t="s">
        <v>1845</v>
      </c>
      <c r="AX60" s="1037" t="s">
        <v>1850</v>
      </c>
      <c r="AZ60" s="1037" t="s">
        <v>1378</v>
      </c>
      <c r="BE60" s="2316">
        <v>2056</v>
      </c>
      <c r="BJ60" s="1133" t="s">
        <v>1809</v>
      </c>
      <c r="BL60" s="1133" t="s">
        <v>1809</v>
      </c>
    </row>
    <row r="61" spans="1:64" ht="11.25" customHeight="1">
      <c r="A61" s="994" t="s">
        <v>1851</v>
      </c>
      <c r="D61" s="1036" t="s">
        <v>1852</v>
      </c>
      <c r="E61" s="1014" t="s">
        <v>1732</v>
      </c>
      <c r="F61" s="994" t="s">
        <v>1845</v>
      </c>
      <c r="AX61" s="1037" t="s">
        <v>1853</v>
      </c>
      <c r="AZ61" s="1037" t="s">
        <v>1403</v>
      </c>
      <c r="BE61" s="2316">
        <v>2057</v>
      </c>
      <c r="BL61" s="1133" t="s">
        <v>1198</v>
      </c>
    </row>
    <row r="62" spans="1:64" ht="11.25" customHeight="1">
      <c r="A62" s="994" t="s">
        <v>1854</v>
      </c>
      <c r="D62" s="1036" t="s">
        <v>131</v>
      </c>
      <c r="E62" s="1014">
        <v>30</v>
      </c>
      <c r="F62" s="994" t="s">
        <v>1845</v>
      </c>
      <c r="AZ62" s="1037" t="s">
        <v>1437</v>
      </c>
      <c r="BE62" s="2316">
        <v>2058</v>
      </c>
      <c r="BL62" s="1133" t="s">
        <v>1200</v>
      </c>
    </row>
    <row r="63" spans="1:64" ht="11.25" customHeight="1">
      <c r="A63" s="994" t="s">
        <v>1855</v>
      </c>
      <c r="D63" s="1036" t="s">
        <v>1856</v>
      </c>
      <c r="E63" s="1014">
        <v>30</v>
      </c>
      <c r="F63" s="994" t="s">
        <v>1845</v>
      </c>
      <c r="AZ63" s="1037" t="s">
        <v>1469</v>
      </c>
      <c r="BE63" s="2316">
        <v>2059</v>
      </c>
    </row>
    <row r="64" spans="1:64" ht="11.25" customHeight="1">
      <c r="A64" s="994" t="s">
        <v>1857</v>
      </c>
      <c r="D64" s="1036" t="s">
        <v>1858</v>
      </c>
      <c r="E64" s="1014">
        <v>30</v>
      </c>
      <c r="F64" s="994" t="s">
        <v>1845</v>
      </c>
      <c r="AZ64" s="1037" t="s">
        <v>1491</v>
      </c>
      <c r="BE64" s="2316">
        <v>2060</v>
      </c>
    </row>
    <row r="65" spans="1:66" ht="11.25" customHeight="1">
      <c r="A65" s="994" t="s">
        <v>1859</v>
      </c>
      <c r="D65" s="994"/>
      <c r="BE65" s="2316">
        <v>2061</v>
      </c>
    </row>
    <row r="66" spans="1:66" ht="11.25" customHeight="1">
      <c r="A66" s="994" t="s">
        <v>1860</v>
      </c>
      <c r="AZ66" s="987" t="s">
        <v>1861</v>
      </c>
      <c r="BE66" s="2316">
        <v>2062</v>
      </c>
    </row>
    <row r="67" spans="1:66" ht="11.25" customHeight="1">
      <c r="A67" s="994" t="s">
        <v>1862</v>
      </c>
      <c r="AZ67" s="1037" t="s">
        <v>1379</v>
      </c>
      <c r="BE67" s="2316">
        <v>2063</v>
      </c>
    </row>
    <row r="68" spans="1:66" ht="11.25" customHeight="1">
      <c r="A68" s="994" t="s">
        <v>1863</v>
      </c>
      <c r="AZ68" s="1037" t="s">
        <v>1404</v>
      </c>
      <c r="BE68" s="2316">
        <v>2064</v>
      </c>
      <c r="BH68" s="987" t="s">
        <v>1864</v>
      </c>
      <c r="BJ68" s="987" t="s">
        <v>1865</v>
      </c>
      <c r="BL68" s="987" t="s">
        <v>1866</v>
      </c>
      <c r="BN68" s="987" t="s">
        <v>1867</v>
      </c>
    </row>
    <row r="69" spans="1:66" ht="11.25" customHeight="1">
      <c r="A69" s="994" t="s">
        <v>1868</v>
      </c>
      <c r="AZ69" s="1037" t="s">
        <v>1438</v>
      </c>
      <c r="BE69" s="2316">
        <v>2065</v>
      </c>
      <c r="BH69" s="988" t="s">
        <v>1869</v>
      </c>
      <c r="BI69" s="1035" t="s">
        <v>109</v>
      </c>
      <c r="BJ69" s="988" t="s">
        <v>1870</v>
      </c>
      <c r="BK69" s="1035" t="s">
        <v>109</v>
      </c>
      <c r="BL69" s="988" t="s">
        <v>1871</v>
      </c>
      <c r="BM69" s="990" t="s">
        <v>109</v>
      </c>
      <c r="BN69" s="988" t="s">
        <v>1872</v>
      </c>
    </row>
    <row r="70" spans="1:66" ht="11.25" customHeight="1">
      <c r="A70" s="994" t="s">
        <v>1873</v>
      </c>
      <c r="AZ70" s="1037" t="s">
        <v>1470</v>
      </c>
      <c r="BE70" s="2316">
        <v>2066</v>
      </c>
      <c r="BH70" s="988" t="s">
        <v>1874</v>
      </c>
      <c r="BJ70" s="988" t="s">
        <v>1875</v>
      </c>
      <c r="BL70" s="988" t="s">
        <v>1876</v>
      </c>
      <c r="BN70" s="988" t="s">
        <v>1877</v>
      </c>
    </row>
    <row r="71" spans="1:66" ht="11.25" customHeight="1">
      <c r="A71" s="994" t="s">
        <v>1878</v>
      </c>
      <c r="AZ71" s="1037" t="s">
        <v>1472</v>
      </c>
      <c r="BE71" s="2316">
        <v>2067</v>
      </c>
      <c r="BH71" s="988" t="s">
        <v>1879</v>
      </c>
      <c r="BI71" s="1035" t="s">
        <v>90</v>
      </c>
      <c r="BJ71" s="988" t="s">
        <v>1880</v>
      </c>
      <c r="BK71" s="1035" t="s">
        <v>90</v>
      </c>
      <c r="BL71" s="988" t="s">
        <v>1881</v>
      </c>
      <c r="BM71" s="990" t="s">
        <v>90</v>
      </c>
      <c r="BN71" s="988" t="s">
        <v>1882</v>
      </c>
    </row>
    <row r="72" spans="1:66" ht="11.25" customHeight="1">
      <c r="A72" s="994" t="s">
        <v>1883</v>
      </c>
      <c r="AZ72" s="1037" t="s">
        <v>19</v>
      </c>
      <c r="BE72" s="2316">
        <v>2068</v>
      </c>
      <c r="BH72" s="988" t="s">
        <v>1884</v>
      </c>
      <c r="BJ72" s="988" t="s">
        <v>1884</v>
      </c>
      <c r="BL72" s="988" t="s">
        <v>1884</v>
      </c>
      <c r="BN72" s="988" t="s">
        <v>1885</v>
      </c>
    </row>
    <row r="73" spans="1:66" ht="11.25" customHeight="1">
      <c r="A73" s="994" t="s">
        <v>1886</v>
      </c>
      <c r="BE73" s="2316">
        <v>2069</v>
      </c>
      <c r="BH73" s="988" t="s">
        <v>1887</v>
      </c>
      <c r="BI73" s="1035" t="s">
        <v>111</v>
      </c>
      <c r="BJ73" s="988" t="s">
        <v>1888</v>
      </c>
      <c r="BK73" s="1035" t="s">
        <v>111</v>
      </c>
      <c r="BL73" s="988" t="s">
        <v>1889</v>
      </c>
      <c r="BM73" s="990" t="s">
        <v>111</v>
      </c>
      <c r="BN73" s="988" t="s">
        <v>1890</v>
      </c>
    </row>
    <row r="74" spans="1:66" ht="11.25" customHeight="1">
      <c r="A74" s="994" t="s">
        <v>1891</v>
      </c>
      <c r="BE74" s="2316">
        <v>2070</v>
      </c>
      <c r="BH74" s="988" t="s">
        <v>1892</v>
      </c>
      <c r="BJ74" s="988" t="s">
        <v>1893</v>
      </c>
      <c r="BL74" s="988" t="s">
        <v>1894</v>
      </c>
      <c r="BN74" s="988" t="s">
        <v>1895</v>
      </c>
    </row>
    <row r="75" spans="1:66" ht="11.25" customHeight="1">
      <c r="A75" s="994" t="s">
        <v>16</v>
      </c>
      <c r="AZ75" s="987" t="s">
        <v>1896</v>
      </c>
      <c r="BH75" s="988" t="s">
        <v>1897</v>
      </c>
      <c r="BJ75" s="988" t="s">
        <v>1897</v>
      </c>
      <c r="BL75" s="988" t="s">
        <v>1897</v>
      </c>
    </row>
    <row r="76" spans="1:66" ht="11.25" customHeight="1">
      <c r="A76" s="994" t="s">
        <v>1898</v>
      </c>
      <c r="AZ76" s="1037" t="s">
        <v>1388</v>
      </c>
      <c r="BH76" s="988" t="s">
        <v>1899</v>
      </c>
      <c r="BJ76" s="988" t="s">
        <v>1900</v>
      </c>
      <c r="BL76" s="988" t="s">
        <v>1901</v>
      </c>
    </row>
    <row r="77" spans="1:66" ht="11.25" customHeight="1">
      <c r="A77" s="994" t="s">
        <v>1902</v>
      </c>
      <c r="AZ77" s="1037" t="s">
        <v>1414</v>
      </c>
    </row>
    <row r="78" spans="1:66" ht="11.25" customHeight="1">
      <c r="A78" s="994" t="s">
        <v>1903</v>
      </c>
      <c r="AZ78" s="1037" t="s">
        <v>1445</v>
      </c>
    </row>
    <row r="79" spans="1:66" ht="11.25" customHeight="1">
      <c r="A79" s="994" t="s">
        <v>1904</v>
      </c>
      <c r="AZ79" s="1037" t="s">
        <v>1476</v>
      </c>
      <c r="BH79" s="987" t="s">
        <v>1905</v>
      </c>
      <c r="BJ79" s="987" t="s">
        <v>1906</v>
      </c>
      <c r="BL79" s="987" t="s">
        <v>1907</v>
      </c>
    </row>
    <row r="80" spans="1:66" ht="11.25" customHeight="1">
      <c r="A80" s="994" t="s">
        <v>1908</v>
      </c>
      <c r="AZ80" s="1037" t="s">
        <v>1496</v>
      </c>
      <c r="BH80" s="988" t="s">
        <v>1909</v>
      </c>
      <c r="BJ80" s="988" t="s">
        <v>1910</v>
      </c>
      <c r="BL80" s="988" t="s">
        <v>1911</v>
      </c>
    </row>
    <row r="81" spans="1:66" ht="11.25" customHeight="1">
      <c r="A81" s="994" t="s">
        <v>1912</v>
      </c>
      <c r="AZ81" s="1037" t="s">
        <v>1513</v>
      </c>
      <c r="BH81" s="988" t="s">
        <v>1913</v>
      </c>
      <c r="BJ81" s="988" t="s">
        <v>1914</v>
      </c>
      <c r="BL81" s="988" t="s">
        <v>1915</v>
      </c>
    </row>
    <row r="82" spans="1:66" ht="11.25" customHeight="1">
      <c r="A82" s="994" t="s">
        <v>1916</v>
      </c>
      <c r="AZ82" s="1037" t="s">
        <v>1528</v>
      </c>
      <c r="BH82" s="988" t="s">
        <v>1917</v>
      </c>
      <c r="BJ82" s="988" t="s">
        <v>1918</v>
      </c>
      <c r="BL82" s="988" t="s">
        <v>1919</v>
      </c>
    </row>
    <row r="83" spans="1:66" ht="11.25" customHeight="1">
      <c r="A83" s="994" t="s">
        <v>1920</v>
      </c>
      <c r="BH83" s="988" t="s">
        <v>1921</v>
      </c>
      <c r="BJ83" s="988" t="s">
        <v>1922</v>
      </c>
      <c r="BL83" s="988" t="s">
        <v>1923</v>
      </c>
    </row>
    <row r="84" spans="1:66" ht="11.25" customHeight="1">
      <c r="A84" s="994" t="s">
        <v>1924</v>
      </c>
      <c r="AZ84" s="987" t="s">
        <v>1925</v>
      </c>
    </row>
    <row r="85" spans="1:66" ht="11.25" customHeight="1">
      <c r="A85" s="1782" t="s">
        <v>1926</v>
      </c>
      <c r="AZ85" s="1037" t="s">
        <v>1927</v>
      </c>
    </row>
    <row r="86" spans="1:66" ht="11.25" customHeight="1">
      <c r="A86" s="994" t="s">
        <v>1928</v>
      </c>
      <c r="AZ86" s="1037" t="s">
        <v>1929</v>
      </c>
      <c r="BH86" s="987" t="s">
        <v>1930</v>
      </c>
      <c r="BJ86" s="987" t="s">
        <v>1931</v>
      </c>
      <c r="BL86" s="987" t="s">
        <v>1932</v>
      </c>
    </row>
    <row r="87" spans="1:66" ht="11.25" customHeight="1">
      <c r="A87" s="994" t="s">
        <v>1933</v>
      </c>
      <c r="AZ87" s="1037" t="s">
        <v>1934</v>
      </c>
      <c r="BH87" s="988" t="s">
        <v>1935</v>
      </c>
      <c r="BJ87" s="988" t="s">
        <v>1936</v>
      </c>
      <c r="BL87" s="988" t="s">
        <v>1937</v>
      </c>
    </row>
    <row r="88" spans="1:66" ht="11.25" customHeight="1">
      <c r="A88" s="994" t="s">
        <v>1938</v>
      </c>
      <c r="AZ88" s="1522"/>
      <c r="BH88" s="988" t="s">
        <v>1939</v>
      </c>
      <c r="BJ88" s="988" t="s">
        <v>1940</v>
      </c>
      <c r="BL88" s="988" t="s">
        <v>1941</v>
      </c>
    </row>
    <row r="89" spans="1:66" ht="11.25" customHeight="1">
      <c r="A89" s="994" t="s">
        <v>1942</v>
      </c>
      <c r="AZ89" s="987" t="s">
        <v>1943</v>
      </c>
    </row>
    <row r="90" spans="1:66" ht="11.25" customHeight="1">
      <c r="A90" s="994" t="s">
        <v>1944</v>
      </c>
      <c r="AZ90" s="1037" t="s">
        <v>1176</v>
      </c>
    </row>
    <row r="91" spans="1:66" ht="11.25" customHeight="1">
      <c r="A91" s="994" t="s">
        <v>1945</v>
      </c>
      <c r="AZ91" s="1037" t="s">
        <v>1212</v>
      </c>
      <c r="BH91" s="987" t="s">
        <v>1946</v>
      </c>
      <c r="BJ91" s="987" t="s">
        <v>1947</v>
      </c>
      <c r="BL91" s="987" t="s">
        <v>1948</v>
      </c>
    </row>
    <row r="92" spans="1:66" ht="11.25" customHeight="1">
      <c r="AZ92" s="1037" t="s">
        <v>1949</v>
      </c>
      <c r="BH92" s="988" t="s">
        <v>1950</v>
      </c>
      <c r="BJ92" s="988" t="s">
        <v>1951</v>
      </c>
      <c r="BL92" s="988" t="s">
        <v>1952</v>
      </c>
    </row>
    <row r="93" spans="1:66" ht="11.25" customHeight="1">
      <c r="AZ93" s="1037" t="s">
        <v>1953</v>
      </c>
      <c r="BH93" s="988" t="s">
        <v>1954</v>
      </c>
      <c r="BJ93" s="988" t="s">
        <v>1955</v>
      </c>
      <c r="BL93" s="988" t="s">
        <v>1956</v>
      </c>
    </row>
    <row r="94" spans="1:66" ht="11.25" customHeight="1">
      <c r="AZ94" s="1037" t="s">
        <v>1957</v>
      </c>
    </row>
    <row r="96" spans="1:66" ht="11.25" customHeight="1">
      <c r="AZ96" s="987" t="s">
        <v>1958</v>
      </c>
      <c r="BH96" s="987" t="s">
        <v>1959</v>
      </c>
      <c r="BJ96" s="987" t="s">
        <v>1960</v>
      </c>
      <c r="BL96" s="987" t="s">
        <v>1961</v>
      </c>
      <c r="BN96" s="987" t="s">
        <v>1962</v>
      </c>
    </row>
    <row r="97" spans="52:66" ht="11.25" customHeight="1">
      <c r="AZ97" s="1813" t="s">
        <v>1963</v>
      </c>
      <c r="BA97" s="1814" t="s">
        <v>1964</v>
      </c>
      <c r="BH97" s="988" t="s">
        <v>1965</v>
      </c>
      <c r="BJ97" s="988" t="s">
        <v>1966</v>
      </c>
      <c r="BL97" s="988" t="s">
        <v>1967</v>
      </c>
      <c r="BN97" s="988" t="s">
        <v>1968</v>
      </c>
    </row>
    <row r="98" spans="52:66" ht="11.25" customHeight="1">
      <c r="AZ98" s="1813" t="s">
        <v>1969</v>
      </c>
      <c r="BA98" s="1814" t="s">
        <v>1970</v>
      </c>
      <c r="BH98" s="988" t="s">
        <v>1971</v>
      </c>
      <c r="BJ98" s="988" t="s">
        <v>1972</v>
      </c>
      <c r="BL98" s="988" t="s">
        <v>1973</v>
      </c>
      <c r="BN98" s="988" t="s">
        <v>1974</v>
      </c>
    </row>
    <row r="99" spans="52:66" ht="22.5" customHeight="1">
      <c r="AZ99" s="1813" t="s">
        <v>1975</v>
      </c>
      <c r="BA99" s="18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1976</v>
      </c>
      <c r="BJ99" s="988" t="s">
        <v>1977</v>
      </c>
      <c r="BL99" s="988" t="s">
        <v>1978</v>
      </c>
      <c r="BN99" s="988" t="s">
        <v>1979</v>
      </c>
    </row>
    <row r="100" spans="52:66" ht="22.5" customHeight="1">
      <c r="AZ100" s="1813" t="s">
        <v>1980</v>
      </c>
      <c r="BA100"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1572</v>
      </c>
      <c r="BL100" s="988" t="s">
        <v>1572</v>
      </c>
      <c r="BN100" s="988" t="s">
        <v>1981</v>
      </c>
    </row>
    <row r="101" spans="52:66" ht="22.5" customHeight="1">
      <c r="AZ101" s="1813" t="s">
        <v>1982</v>
      </c>
      <c r="BA101" s="1814" t="s">
        <v>1983</v>
      </c>
      <c r="BN101" s="988" t="s">
        <v>1984</v>
      </c>
    </row>
    <row r="102" spans="52:66" ht="22.5" customHeight="1">
      <c r="AZ102" s="1813" t="s">
        <v>1985</v>
      </c>
      <c r="BA102"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1986</v>
      </c>
    </row>
    <row r="103" spans="52:66" ht="11.25" customHeight="1">
      <c r="AZ103" s="1813" t="s">
        <v>1987</v>
      </c>
      <c r="BA103" s="1814" t="s">
        <v>1988</v>
      </c>
      <c r="BN103" s="988" t="s">
        <v>1989</v>
      </c>
    </row>
    <row r="104" spans="52:66" ht="11.25" customHeight="1">
      <c r="BN104" s="988" t="s">
        <v>1990</v>
      </c>
    </row>
    <row r="105" spans="52:66" ht="11.25" customHeight="1">
      <c r="AZ105" s="1608" t="s">
        <v>1991</v>
      </c>
    </row>
    <row r="106" spans="52:66" ht="11.25" customHeight="1">
      <c r="AZ106" s="1037" t="s">
        <v>1992</v>
      </c>
    </row>
    <row r="107" spans="52:66" ht="11.25" customHeight="1">
      <c r="AZ107" s="1037" t="s">
        <v>1993</v>
      </c>
      <c r="BH107" s="987" t="s">
        <v>1994</v>
      </c>
      <c r="BJ107" s="987" t="s">
        <v>1995</v>
      </c>
      <c r="BL107" s="987" t="s">
        <v>1996</v>
      </c>
      <c r="BN107" s="987" t="s">
        <v>1997</v>
      </c>
    </row>
    <row r="108" spans="52:66" ht="11.25" customHeight="1">
      <c r="AZ108" s="1037" t="s">
        <v>574</v>
      </c>
      <c r="BH108" s="988" t="s">
        <v>1998</v>
      </c>
      <c r="BJ108" s="988" t="s">
        <v>1999</v>
      </c>
      <c r="BL108" s="988" t="s">
        <v>1655</v>
      </c>
      <c r="BN108" s="988" t="s">
        <v>2000</v>
      </c>
    </row>
    <row r="109" spans="52:66" ht="11.25" customHeight="1">
      <c r="BH109" s="988" t="s">
        <v>2001</v>
      </c>
    </row>
    <row r="110" spans="52:66" ht="11.25" customHeight="1">
      <c r="AZ110" s="1608" t="s">
        <v>2002</v>
      </c>
      <c r="BH110" s="988" t="s">
        <v>2001</v>
      </c>
    </row>
    <row r="111" spans="52:66" ht="11.25" customHeight="1">
      <c r="AZ111" s="1813" t="s">
        <v>1963</v>
      </c>
      <c r="BA111" s="1814" t="s">
        <v>1964</v>
      </c>
    </row>
    <row r="112" spans="52:66" ht="11.25" customHeight="1">
      <c r="AZ112" s="1813" t="s">
        <v>1969</v>
      </c>
      <c r="BA112" s="1814" t="s">
        <v>1970</v>
      </c>
    </row>
    <row r="113" spans="52:60" ht="22.5" customHeight="1">
      <c r="AZ113" s="1813" t="s">
        <v>1975</v>
      </c>
      <c r="BA113" s="181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3" t="s">
        <v>1980</v>
      </c>
      <c r="BA114"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2003</v>
      </c>
    </row>
    <row r="115" spans="52:60" ht="22.5" customHeight="1">
      <c r="AZ115" s="1813" t="s">
        <v>1985</v>
      </c>
      <c r="BA115"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1375</v>
      </c>
    </row>
    <row r="116" spans="52:60" ht="11.25" customHeight="1">
      <c r="AZ116" s="1813" t="s">
        <v>1987</v>
      </c>
      <c r="BA116" s="1814" t="s">
        <v>1988</v>
      </c>
      <c r="BH116" s="988" t="s">
        <v>1400</v>
      </c>
    </row>
    <row r="117" spans="52:60" ht="11.25" customHeight="1">
      <c r="BH117" s="988" t="s">
        <v>1434</v>
      </c>
    </row>
    <row r="118" spans="52:60" ht="11.25" customHeight="1">
      <c r="BH118" s="988" t="s">
        <v>1467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327" hidden="1" customWidth="1"/>
    <col min="3" max="3" width="3" style="2329" customWidth="1"/>
    <col min="4" max="4" width="6" style="2330" customWidth="1"/>
    <col min="5" max="5" width="52" style="2329" customWidth="1"/>
    <col min="6" max="6" width="48" style="2329" customWidth="1"/>
    <col min="7" max="7" width="93" style="2329" customWidth="1"/>
    <col min="8" max="8" width="8" style="2329" customWidth="1"/>
    <col min="9" max="9" width="64" style="2329" customWidth="1"/>
    <col min="10" max="10" width="9.140625" style="2329" hidden="1"/>
  </cols>
  <sheetData>
    <row r="1" spans="1:10" ht="11.25" hidden="1" customHeight="1">
      <c r="A1" s="437" t="s">
        <v>298</v>
      </c>
      <c r="J1" s="391" t="s">
        <v>14</v>
      </c>
    </row>
    <row r="2" spans="1:10" ht="22.5" hidden="1" customHeight="1">
      <c r="A2" s="438"/>
      <c r="B2" s="438"/>
      <c r="C2" s="1645" t="s">
        <v>568</v>
      </c>
      <c r="D2" s="1436"/>
      <c r="E2" s="1442"/>
      <c r="F2" s="1465"/>
      <c r="H2" s="411"/>
      <c r="J2" s="391">
        <v>0</v>
      </c>
    </row>
    <row r="3" spans="1:10" ht="11.25" hidden="1" customHeight="1">
      <c r="J3" s="391">
        <v>0</v>
      </c>
    </row>
    <row r="4" spans="1:10" ht="11.45" customHeight="1">
      <c r="A4" s="1466"/>
      <c r="B4" s="1466"/>
      <c r="J4" s="391">
        <v>11</v>
      </c>
    </row>
    <row r="5" spans="1:10" ht="27.4" customHeight="1">
      <c r="D5" s="24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29"/>
      <c r="F5" s="2430"/>
      <c r="I5" s="651"/>
      <c r="J5" s="391">
        <v>26</v>
      </c>
    </row>
    <row r="6" spans="1:10" ht="18" customHeight="1">
      <c r="D6" s="2516" t="str">
        <f>IF(region_name=0,"Не определено",region_name)</f>
        <v>Ставропольский край</v>
      </c>
      <c r="E6" s="2516"/>
      <c r="F6" s="2516"/>
      <c r="I6" s="651"/>
      <c r="J6" s="391">
        <v>17</v>
      </c>
    </row>
    <row r="7" spans="1:10" s="2326" customFormat="1" ht="11.45" customHeight="1">
      <c r="A7" s="437"/>
      <c r="B7" s="437"/>
      <c r="D7" s="650"/>
      <c r="E7" s="650"/>
      <c r="F7" s="688"/>
      <c r="G7" s="650"/>
      <c r="J7" s="413">
        <v>11</v>
      </c>
    </row>
    <row r="8" spans="1:10" ht="11.25" hidden="1" customHeight="1">
      <c r="A8" s="438"/>
      <c r="B8" s="438"/>
      <c r="C8" s="393"/>
      <c r="D8" s="399"/>
      <c r="E8" s="2522"/>
      <c r="F8" s="2522"/>
      <c r="J8" s="391">
        <v>0</v>
      </c>
    </row>
    <row r="9" spans="1:10" ht="11.45" customHeight="1">
      <c r="A9" s="438"/>
      <c r="B9" s="438"/>
      <c r="C9" s="393"/>
      <c r="D9" s="2519" t="s">
        <v>299</v>
      </c>
      <c r="E9" s="2520"/>
      <c r="F9" s="2520"/>
      <c r="G9" s="2523" t="s">
        <v>300</v>
      </c>
      <c r="J9" s="391">
        <v>11</v>
      </c>
    </row>
    <row r="10" spans="1:10" ht="11.45" customHeight="1">
      <c r="A10" s="438"/>
      <c r="B10" s="438"/>
      <c r="C10" s="393"/>
      <c r="D10" s="1390" t="s">
        <v>88</v>
      </c>
      <c r="E10" s="1392" t="s">
        <v>301</v>
      </c>
      <c r="F10" s="1392" t="s">
        <v>302</v>
      </c>
      <c r="G10" s="2524"/>
      <c r="J10" s="391">
        <v>11</v>
      </c>
    </row>
    <row r="11" spans="1:10" ht="1.1499999999999999" customHeight="1">
      <c r="A11" s="438"/>
      <c r="B11" s="438"/>
      <c r="C11" s="393"/>
      <c r="D11" s="400"/>
      <c r="E11" s="400"/>
      <c r="F11" s="400"/>
      <c r="G11" s="400"/>
      <c r="J11" s="391">
        <v>1</v>
      </c>
    </row>
    <row r="12" spans="1:10" ht="24" customHeight="1">
      <c r="A12" s="438"/>
      <c r="B12" s="438"/>
      <c r="C12" s="393"/>
      <c r="D12" s="143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0" t="str">
        <f>IF(org="","",org)</f>
        <v>ООО "Пятигорсктеплосервис"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9"/>
      <c r="J12" s="391">
        <v>23</v>
      </c>
    </row>
    <row r="13" spans="1:10" ht="19.899999999999999" customHeight="1">
      <c r="A13" s="438"/>
      <c r="B13" s="438"/>
      <c r="C13" s="393"/>
      <c r="D13" s="1436">
        <v>2</v>
      </c>
      <c r="E13" s="1443" t="s">
        <v>2004</v>
      </c>
      <c r="F13" s="1437" t="s">
        <v>305</v>
      </c>
      <c r="G13" s="410"/>
      <c r="H13" s="1449"/>
      <c r="J13" s="391">
        <v>19</v>
      </c>
    </row>
    <row r="14" spans="1:10" ht="19.899999999999999" customHeight="1">
      <c r="A14" s="438"/>
      <c r="B14" s="438"/>
      <c r="C14" s="393"/>
      <c r="D14" s="1439" t="s">
        <v>795</v>
      </c>
      <c r="E14" s="1440" t="s">
        <v>2005</v>
      </c>
      <c r="F14" s="1442"/>
      <c r="G14" s="1441" t="s">
        <v>2006</v>
      </c>
      <c r="H14" s="1449"/>
      <c r="J14" s="391">
        <v>19</v>
      </c>
    </row>
    <row r="15" spans="1:10" ht="19.899999999999999" customHeight="1">
      <c r="A15" s="438"/>
      <c r="B15" s="438"/>
      <c r="C15" s="393"/>
      <c r="D15" s="1439" t="s">
        <v>306</v>
      </c>
      <c r="E15" s="1440" t="s">
        <v>2007</v>
      </c>
      <c r="F15" s="1442"/>
      <c r="G15" s="1441" t="s">
        <v>2008</v>
      </c>
      <c r="H15" s="1449"/>
      <c r="J15" s="391">
        <v>19</v>
      </c>
    </row>
    <row r="16" spans="1:10" ht="24" customHeight="1">
      <c r="A16" s="438"/>
      <c r="B16" s="438"/>
      <c r="C16" s="393"/>
      <c r="D16" s="1439" t="s">
        <v>309</v>
      </c>
      <c r="E16" s="1438" t="s">
        <v>2009</v>
      </c>
      <c r="F16" s="1447"/>
      <c r="G16" s="410" t="s">
        <v>2010</v>
      </c>
      <c r="H16" s="1449"/>
      <c r="J16" s="391">
        <v>23</v>
      </c>
    </row>
    <row r="17" spans="1:10" ht="48.2" customHeight="1">
      <c r="A17" s="438"/>
      <c r="B17" s="438"/>
      <c r="C17" s="393"/>
      <c r="D17" s="1436">
        <v>3</v>
      </c>
      <c r="E17" s="1443" t="s">
        <v>2011</v>
      </c>
      <c r="F17" s="1442"/>
      <c r="G17" s="410" t="s">
        <v>2012</v>
      </c>
      <c r="H17" s="1449"/>
      <c r="J17" s="391">
        <v>46</v>
      </c>
    </row>
    <row r="18" spans="1:10" ht="48.2" customHeight="1">
      <c r="A18" s="1391">
        <v>1</v>
      </c>
      <c r="B18" s="438"/>
      <c r="C18" s="1393"/>
      <c r="D18" s="1436" t="s">
        <v>91</v>
      </c>
      <c r="E18" s="1443" t="s">
        <v>2013</v>
      </c>
      <c r="F18" s="1442"/>
      <c r="G18" s="410" t="s">
        <v>2012</v>
      </c>
      <c r="H18" s="1449"/>
      <c r="I18" s="778"/>
      <c r="J18" s="391">
        <v>46</v>
      </c>
    </row>
    <row r="19" spans="1:10" ht="23.25" customHeight="1">
      <c r="A19" s="438"/>
      <c r="B19" s="438"/>
      <c r="C19" s="393"/>
      <c r="D19" s="1436" t="s">
        <v>111</v>
      </c>
      <c r="E19" s="1443" t="s">
        <v>2014</v>
      </c>
      <c r="F19" s="1437" t="s">
        <v>305</v>
      </c>
      <c r="G19" s="2769" t="s">
        <v>2015</v>
      </c>
      <c r="H19" s="411"/>
      <c r="J19" s="391">
        <v>22</v>
      </c>
    </row>
    <row r="20" spans="1:10" s="2368" customFormat="1" ht="5.25" hidden="1" customHeight="1">
      <c r="A20" s="438"/>
      <c r="B20" s="438"/>
      <c r="C20" s="1445"/>
      <c r="D20" s="1444" t="s">
        <v>1274</v>
      </c>
      <c r="E20" s="936"/>
      <c r="F20" s="935"/>
      <c r="G20" s="2770"/>
      <c r="J20" s="1446">
        <v>0</v>
      </c>
    </row>
    <row r="21" spans="1:10" ht="15.75" customHeight="1">
      <c r="A21" s="438"/>
      <c r="B21" s="438"/>
      <c r="C21" s="393"/>
      <c r="D21" s="403"/>
      <c r="E21" s="351" t="s">
        <v>338</v>
      </c>
      <c r="F21" s="405"/>
      <c r="G21" s="2771"/>
      <c r="H21" s="1449"/>
      <c r="J21" s="391">
        <v>15</v>
      </c>
    </row>
    <row r="22" spans="1:10" s="2327" customFormat="1" ht="26.25" customHeight="1">
      <c r="A22" s="438"/>
      <c r="B22" s="438"/>
      <c r="C22" s="438"/>
      <c r="D22" s="1436" t="s">
        <v>92</v>
      </c>
      <c r="E22" s="410" t="s">
        <v>2016</v>
      </c>
      <c r="F22" s="1442"/>
      <c r="G22" s="410" t="s">
        <v>2017</v>
      </c>
      <c r="H22" s="1448"/>
      <c r="J22" s="437">
        <v>25</v>
      </c>
    </row>
    <row r="23" spans="1:10" s="2327" customFormat="1" ht="19.899999999999999" customHeight="1">
      <c r="A23" s="438"/>
      <c r="B23" s="438"/>
      <c r="C23" s="438"/>
      <c r="D23" s="1436" t="s">
        <v>93</v>
      </c>
      <c r="E23" s="1443" t="s">
        <v>2018</v>
      </c>
      <c r="F23" s="1447"/>
      <c r="G23" s="410" t="s">
        <v>2019</v>
      </c>
      <c r="H23" s="1448"/>
      <c r="J23" s="437">
        <v>19</v>
      </c>
    </row>
    <row r="24" spans="1:10" s="2327" customFormat="1" ht="144" hidden="1" customHeight="1">
      <c r="A24" s="438"/>
      <c r="B24" s="438"/>
      <c r="C24" s="438"/>
      <c r="D24" s="1436" t="s">
        <v>112</v>
      </c>
      <c r="E24" s="18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0"/>
      <c r="G24" s="18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360" hidden="1"/>
    <col min="2" max="2" width="9.140625" style="2357" hidden="1"/>
    <col min="3" max="3" width="3.7109375" style="2360" hidden="1" customWidth="1"/>
    <col min="4" max="4" width="3" style="2378" customWidth="1"/>
    <col min="5" max="5" width="6" style="2360" customWidth="1"/>
    <col min="6" max="6" width="46" style="2360" customWidth="1"/>
    <col min="7" max="8" width="16" style="2360" customWidth="1"/>
    <col min="9" max="9" width="35" style="2360" customWidth="1"/>
    <col min="10" max="10" width="89" style="2360" customWidth="1"/>
    <col min="11" max="11" width="3" style="2358" customWidth="1"/>
    <col min="12" max="14" width="8" style="2358" customWidth="1"/>
    <col min="15" max="15" width="25" style="2358" customWidth="1"/>
    <col min="16" max="16" width="14" style="2358" customWidth="1"/>
    <col min="17" max="20" width="8" style="2321" customWidth="1"/>
    <col min="21" max="254" width="8" style="2360" customWidth="1"/>
    <col min="255" max="255" width="9.140625" style="2360" hidden="1"/>
  </cols>
  <sheetData>
    <row r="1" spans="1:255" ht="22.5" hidden="1" customHeight="1">
      <c r="F1" s="1547" t="s">
        <v>2020</v>
      </c>
      <c r="G1" s="1547" t="s">
        <v>47</v>
      </c>
      <c r="H1" s="1547" t="s">
        <v>49</v>
      </c>
      <c r="IU1" s="1071" t="s">
        <v>14</v>
      </c>
    </row>
    <row r="2" spans="1:255" s="2398" customFormat="1" ht="22.5" hidden="1" customHeight="1">
      <c r="A2" s="761"/>
      <c r="B2" s="1076">
        <v>1</v>
      </c>
      <c r="C2" s="1076"/>
      <c r="D2" s="1837" t="s">
        <v>568</v>
      </c>
      <c r="E2" s="1400"/>
      <c r="F2" s="1407"/>
      <c r="G2" s="1407"/>
      <c r="H2" s="1407"/>
      <c r="I2" s="1893"/>
      <c r="J2" s="1894"/>
      <c r="K2" s="1451"/>
      <c r="L2" s="447"/>
      <c r="M2" s="447"/>
      <c r="N2" s="436" t="str">
        <f t="array" ref="N2">IF(ISERROR(MATCH(MID(O2,1,250),MID(note_ter,1,250),0)),"n","y")</f>
        <v>n</v>
      </c>
      <c r="O2" s="447"/>
      <c r="P2" s="436" t="str">
        <f>G2&amp;"("&amp;J2&amp;")"</f>
        <v>()</v>
      </c>
      <c r="Q2" s="1076"/>
      <c r="R2" s="1076"/>
      <c r="S2" s="356"/>
      <c r="T2" s="1076"/>
      <c r="U2" s="1076"/>
      <c r="V2" s="107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344"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331" customFormat="1" ht="14.65" customHeight="1">
      <c r="A4" s="1071"/>
      <c r="B4" s="1076"/>
      <c r="C4" s="1071"/>
      <c r="D4" s="1411"/>
      <c r="E4" s="445"/>
      <c r="F4" s="1558"/>
      <c r="G4" s="445"/>
      <c r="H4" s="445"/>
      <c r="I4" s="445"/>
      <c r="J4" s="103"/>
      <c r="K4" s="184"/>
      <c r="L4" s="436"/>
      <c r="M4" s="436"/>
      <c r="N4" s="436"/>
      <c r="O4" s="163"/>
      <c r="P4" s="436"/>
      <c r="Q4" s="162"/>
      <c r="R4" s="162"/>
      <c r="S4" s="162"/>
      <c r="T4" s="162"/>
      <c r="IU4" s="443">
        <v>14</v>
      </c>
    </row>
    <row r="5" spans="1:255" s="2331" customFormat="1" ht="27.4" customHeight="1">
      <c r="A5" s="1071"/>
      <c r="B5" s="1076"/>
      <c r="C5" s="1071"/>
      <c r="D5" s="1411"/>
      <c r="E5" s="242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21"/>
      <c r="G5" s="2421"/>
      <c r="H5" s="2421"/>
      <c r="I5" s="2421"/>
      <c r="J5" s="2421"/>
      <c r="K5" s="184"/>
      <c r="L5" s="436"/>
      <c r="M5" s="436"/>
      <c r="N5" s="436"/>
      <c r="O5" s="163"/>
      <c r="P5" s="436"/>
      <c r="Q5" s="162"/>
      <c r="R5" s="162"/>
      <c r="S5" s="162"/>
      <c r="T5" s="162"/>
      <c r="IU5" s="443">
        <v>26</v>
      </c>
    </row>
    <row r="6" spans="1:255" s="2331" customFormat="1" ht="14.65" customHeight="1">
      <c r="A6" s="1071"/>
      <c r="B6" s="1076"/>
      <c r="C6" s="1071"/>
      <c r="D6" s="1411"/>
      <c r="E6" s="445"/>
      <c r="F6" s="104"/>
      <c r="G6" s="104"/>
      <c r="H6" s="104"/>
      <c r="I6" s="104"/>
      <c r="J6" s="105"/>
      <c r="K6" s="436"/>
      <c r="L6" s="436"/>
      <c r="M6" s="436"/>
      <c r="N6" s="436"/>
      <c r="O6" s="163"/>
      <c r="P6" s="436"/>
      <c r="Q6" s="162"/>
      <c r="R6" s="162"/>
      <c r="S6" s="162"/>
      <c r="T6" s="162"/>
      <c r="IU6" s="443">
        <v>14</v>
      </c>
    </row>
    <row r="7" spans="1:255" s="2331" customFormat="1" ht="14.65" customHeight="1">
      <c r="A7" s="1071"/>
      <c r="B7" s="1076"/>
      <c r="C7" s="1071"/>
      <c r="D7" s="1411"/>
      <c r="E7" s="2417" t="s">
        <v>299</v>
      </c>
      <c r="F7" s="2422"/>
      <c r="G7" s="2422"/>
      <c r="H7" s="2422"/>
      <c r="I7" s="2422"/>
      <c r="J7" s="2772" t="s">
        <v>300</v>
      </c>
      <c r="K7" s="436"/>
      <c r="L7" s="436"/>
      <c r="M7" s="436"/>
      <c r="N7" s="436"/>
      <c r="O7" s="163"/>
      <c r="P7" s="436"/>
      <c r="Q7" s="162"/>
      <c r="R7" s="162"/>
      <c r="S7" s="162"/>
      <c r="T7" s="162"/>
      <c r="IU7" s="443">
        <v>14</v>
      </c>
    </row>
    <row r="8" spans="1:255" s="2331" customFormat="1" ht="21" customHeight="1">
      <c r="A8" s="1071"/>
      <c r="B8" s="1076"/>
      <c r="C8" s="1071"/>
      <c r="D8" s="1411"/>
      <c r="E8" s="1464" t="s">
        <v>88</v>
      </c>
      <c r="F8" s="1456" t="s">
        <v>2020</v>
      </c>
      <c r="G8" s="1456" t="s">
        <v>47</v>
      </c>
      <c r="H8" s="1456" t="s">
        <v>49</v>
      </c>
      <c r="I8" s="1456" t="s">
        <v>2021</v>
      </c>
      <c r="J8" s="2773"/>
      <c r="K8" s="436"/>
      <c r="L8" s="436"/>
      <c r="M8" s="436"/>
      <c r="N8" s="436"/>
      <c r="O8" s="163"/>
      <c r="P8" s="436"/>
      <c r="Q8" s="162"/>
      <c r="R8" s="162"/>
      <c r="S8" s="162"/>
      <c r="T8" s="162"/>
      <c r="IU8" s="443">
        <v>20</v>
      </c>
    </row>
    <row r="9" spans="1:255" s="2398" customFormat="1" ht="23.25" customHeight="1">
      <c r="A9" s="1547"/>
      <c r="B9" s="1076">
        <v>1</v>
      </c>
      <c r="C9" s="1076"/>
      <c r="D9" s="731"/>
      <c r="E9" s="1400">
        <v>1</v>
      </c>
      <c r="F9" s="1463"/>
      <c r="G9" s="1407"/>
      <c r="H9" s="1407"/>
      <c r="I9" s="1454"/>
      <c r="J9" s="24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6"/>
      <c r="R9" s="1076"/>
      <c r="S9" s="356"/>
      <c r="T9" s="1076"/>
      <c r="U9" s="1076"/>
      <c r="V9" s="107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398" customFormat="1" ht="15.75" customHeight="1">
      <c r="A10" s="1547"/>
      <c r="B10" s="1076"/>
      <c r="C10" s="348"/>
      <c r="D10" s="731"/>
      <c r="E10" s="1457"/>
      <c r="F10" s="1416" t="s">
        <v>2022</v>
      </c>
      <c r="G10" s="1458"/>
      <c r="H10" s="1458"/>
      <c r="I10" s="1811"/>
      <c r="J10" s="2481"/>
      <c r="K10" s="1452"/>
      <c r="L10" s="447"/>
      <c r="M10" s="447"/>
      <c r="N10" s="447"/>
      <c r="O10" s="436"/>
      <c r="P10" s="447"/>
      <c r="Q10" s="1076"/>
      <c r="R10" s="1076"/>
      <c r="S10" s="356"/>
      <c r="T10" s="1076"/>
      <c r="U10" s="1076"/>
      <c r="V10" s="107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331" customFormat="1" ht="21.95" customHeight="1">
      <c r="A11" s="1071"/>
      <c r="B11" s="1076"/>
      <c r="C11" s="1071"/>
      <c r="D11" s="387"/>
      <c r="E11" s="117"/>
      <c r="F11" s="117"/>
      <c r="G11" s="117"/>
      <c r="H11" s="117"/>
      <c r="I11" s="117"/>
      <c r="J11" s="117"/>
      <c r="K11" s="436"/>
      <c r="L11" s="436"/>
      <c r="M11" s="436"/>
      <c r="N11" s="436"/>
      <c r="O11" s="163"/>
      <c r="P11" s="436"/>
      <c r="Q11" s="162"/>
      <c r="R11" s="162"/>
      <c r="S11" s="162"/>
      <c r="T11" s="162"/>
      <c r="IU11" s="443">
        <v>21</v>
      </c>
    </row>
    <row r="12" spans="1:255" s="2331" customFormat="1" ht="14.65" customHeight="1">
      <c r="A12" s="1071"/>
      <c r="B12" s="1076"/>
      <c r="C12" s="1071"/>
      <c r="D12" s="387"/>
      <c r="E12" s="1071"/>
      <c r="F12" s="1071"/>
      <c r="G12" s="1071"/>
      <c r="H12" s="1071"/>
      <c r="I12" s="1071"/>
      <c r="J12" s="1071"/>
      <c r="K12" s="436"/>
      <c r="L12" s="436"/>
      <c r="M12" s="436"/>
      <c r="N12" s="436"/>
      <c r="O12" s="163"/>
      <c r="P12" s="436"/>
      <c r="Q12" s="162"/>
      <c r="R12" s="162"/>
      <c r="S12" s="162"/>
      <c r="T12" s="162"/>
      <c r="IU12" s="443">
        <v>14</v>
      </c>
    </row>
    <row r="13" spans="1:255" s="2331" customFormat="1" ht="1.1499999999999999" customHeight="1">
      <c r="A13" s="1071"/>
      <c r="B13" s="1076"/>
      <c r="C13" s="1071"/>
      <c r="D13" s="387"/>
      <c r="E13" s="1071"/>
      <c r="F13" s="1071"/>
      <c r="G13" s="1071"/>
      <c r="H13" s="1071"/>
      <c r="I13" s="1071"/>
      <c r="J13" s="1071"/>
      <c r="K13" s="436"/>
      <c r="L13" s="436"/>
      <c r="M13" s="436"/>
      <c r="N13" s="436"/>
      <c r="O13" s="163"/>
      <c r="P13" s="436"/>
      <c r="Q13" s="162"/>
      <c r="R13" s="162"/>
      <c r="S13" s="162"/>
      <c r="T13" s="162"/>
      <c r="IU13" s="443">
        <v>1</v>
      </c>
    </row>
    <row r="14" spans="1:255" s="2353" customFormat="1" ht="10.5" customHeight="1">
      <c r="B14" s="764"/>
      <c r="D14" s="119"/>
      <c r="K14" s="436"/>
      <c r="L14" s="436"/>
      <c r="M14" s="436"/>
      <c r="N14" s="436"/>
      <c r="O14" s="163"/>
      <c r="P14" s="436"/>
      <c r="Q14" s="162"/>
      <c r="R14" s="162"/>
      <c r="S14" s="162"/>
      <c r="T14" s="162"/>
      <c r="IU14" s="118">
        <v>10</v>
      </c>
    </row>
    <row r="15" spans="1:255" s="2353" customFormat="1" ht="10.5" customHeight="1">
      <c r="B15" s="764"/>
      <c r="D15" s="119"/>
      <c r="K15" s="436"/>
      <c r="L15" s="436"/>
      <c r="M15" s="436"/>
      <c r="N15" s="436"/>
      <c r="O15" s="163"/>
      <c r="P15" s="436"/>
      <c r="Q15" s="162"/>
      <c r="R15" s="162"/>
      <c r="S15" s="162"/>
      <c r="T15" s="162"/>
      <c r="IU15" s="118">
        <v>10</v>
      </c>
    </row>
    <row r="16" spans="1:255" ht="14.65" customHeight="1">
      <c r="IU16" s="1071">
        <v>14</v>
      </c>
    </row>
    <row r="17" spans="1:255" ht="14.65" customHeight="1">
      <c r="IU17" s="1071">
        <v>14</v>
      </c>
    </row>
    <row r="18" spans="1:255" ht="14.65" customHeight="1">
      <c r="IU18" s="1071">
        <v>14</v>
      </c>
    </row>
    <row r="19" spans="1:255" ht="14.65" customHeight="1">
      <c r="G19" s="309"/>
      <c r="H19" s="309"/>
      <c r="I19" s="309"/>
      <c r="IU19" s="1071">
        <v>14</v>
      </c>
    </row>
    <row r="20" spans="1:255" ht="14.65" customHeight="1">
      <c r="IU20" s="1071">
        <v>14</v>
      </c>
    </row>
    <row r="21" spans="1:255" ht="14.65" customHeight="1">
      <c r="IU21" s="1071">
        <v>14</v>
      </c>
    </row>
    <row r="22" spans="1:255" ht="14.65" customHeight="1">
      <c r="IU22" s="1071">
        <v>14</v>
      </c>
    </row>
    <row r="23" spans="1:255" ht="14.65" customHeight="1">
      <c r="K23" s="1071"/>
      <c r="L23" s="1071"/>
      <c r="M23" s="1071"/>
      <c r="IU23" s="1071">
        <v>14</v>
      </c>
    </row>
    <row r="24" spans="1:255" ht="22.5" hidden="1" customHeight="1">
      <c r="A24" s="1071" t="s">
        <v>82</v>
      </c>
      <c r="B24" s="1076">
        <v>0</v>
      </c>
      <c r="C24" s="1071">
        <v>0</v>
      </c>
      <c r="D24" s="387">
        <v>3</v>
      </c>
      <c r="E24" s="1071">
        <v>6</v>
      </c>
      <c r="F24" s="1071">
        <v>46</v>
      </c>
      <c r="G24" s="1071">
        <v>16</v>
      </c>
      <c r="H24" s="1071">
        <v>16</v>
      </c>
      <c r="I24" s="1071">
        <v>35</v>
      </c>
      <c r="J24" s="1071">
        <v>89</v>
      </c>
      <c r="K24" s="436">
        <v>3</v>
      </c>
      <c r="L24" s="436">
        <v>8</v>
      </c>
      <c r="M24" s="436">
        <v>8</v>
      </c>
      <c r="N24" s="436">
        <v>8</v>
      </c>
      <c r="O24" s="163">
        <v>25</v>
      </c>
      <c r="P24" s="436">
        <v>14</v>
      </c>
      <c r="Q24" s="162">
        <v>8</v>
      </c>
      <c r="R24" s="162">
        <v>8</v>
      </c>
      <c r="S24" s="162">
        <v>8</v>
      </c>
      <c r="T24" s="162">
        <v>8</v>
      </c>
      <c r="U24" s="1071">
        <v>8</v>
      </c>
      <c r="V24" s="1071">
        <v>8</v>
      </c>
      <c r="W24" s="1071">
        <v>8</v>
      </c>
      <c r="X24" s="1071">
        <v>8</v>
      </c>
      <c r="Y24" s="1071">
        <v>8</v>
      </c>
      <c r="Z24" s="1071">
        <v>8</v>
      </c>
      <c r="AA24" s="1071">
        <v>8</v>
      </c>
      <c r="AB24" s="1071">
        <v>8</v>
      </c>
      <c r="AC24" s="1071">
        <v>8</v>
      </c>
      <c r="AD24" s="1071">
        <v>8</v>
      </c>
      <c r="AE24" s="1071">
        <v>8</v>
      </c>
      <c r="AF24" s="1071">
        <v>8</v>
      </c>
      <c r="AG24" s="1071">
        <v>8</v>
      </c>
      <c r="AH24" s="1071">
        <v>8</v>
      </c>
      <c r="AI24" s="1071">
        <v>8</v>
      </c>
      <c r="AJ24" s="1071">
        <v>8</v>
      </c>
      <c r="AK24" s="1071">
        <v>8</v>
      </c>
      <c r="AL24" s="1071">
        <v>8</v>
      </c>
      <c r="AM24" s="1071">
        <v>8</v>
      </c>
      <c r="AN24" s="1071">
        <v>8</v>
      </c>
      <c r="AO24" s="1071">
        <v>8</v>
      </c>
      <c r="AP24" s="1071">
        <v>8</v>
      </c>
      <c r="AQ24" s="1071">
        <v>8</v>
      </c>
      <c r="AR24" s="1071">
        <v>8</v>
      </c>
      <c r="AS24" s="1071">
        <v>8</v>
      </c>
      <c r="AT24" s="1071">
        <v>8</v>
      </c>
      <c r="AU24" s="1071">
        <v>8</v>
      </c>
      <c r="AV24" s="1071">
        <v>8</v>
      </c>
      <c r="AW24" s="1071">
        <v>8</v>
      </c>
      <c r="AX24" s="1071">
        <v>8</v>
      </c>
      <c r="AY24" s="1071">
        <v>8</v>
      </c>
      <c r="AZ24" s="1071">
        <v>8</v>
      </c>
      <c r="BA24" s="1071">
        <v>8</v>
      </c>
      <c r="BB24" s="1071">
        <v>8</v>
      </c>
      <c r="BC24" s="1071">
        <v>8</v>
      </c>
      <c r="BD24" s="1071">
        <v>8</v>
      </c>
      <c r="BE24" s="1071">
        <v>8</v>
      </c>
      <c r="BF24" s="1071">
        <v>8</v>
      </c>
      <c r="BG24" s="1071">
        <v>8</v>
      </c>
      <c r="BH24" s="1071">
        <v>8</v>
      </c>
      <c r="BI24" s="1071">
        <v>8</v>
      </c>
      <c r="BJ24" s="1071">
        <v>8</v>
      </c>
      <c r="BK24" s="1071">
        <v>8</v>
      </c>
      <c r="BL24" s="1071">
        <v>8</v>
      </c>
      <c r="BM24" s="1071">
        <v>8</v>
      </c>
      <c r="BN24" s="1071">
        <v>8</v>
      </c>
      <c r="BO24" s="1071">
        <v>8</v>
      </c>
      <c r="BP24" s="1071">
        <v>8</v>
      </c>
      <c r="BQ24" s="1071">
        <v>8</v>
      </c>
      <c r="BR24" s="1071">
        <v>8</v>
      </c>
      <c r="BS24" s="1071">
        <v>8</v>
      </c>
      <c r="BT24" s="1071">
        <v>8</v>
      </c>
      <c r="BU24" s="1071">
        <v>8</v>
      </c>
      <c r="BV24" s="1071">
        <v>8</v>
      </c>
      <c r="BW24" s="1071">
        <v>8</v>
      </c>
      <c r="BX24" s="1071">
        <v>8</v>
      </c>
      <c r="BY24" s="1071">
        <v>8</v>
      </c>
      <c r="BZ24" s="1071">
        <v>8</v>
      </c>
      <c r="CA24" s="1071">
        <v>8</v>
      </c>
      <c r="CB24" s="1071">
        <v>8</v>
      </c>
      <c r="CC24" s="1071">
        <v>8</v>
      </c>
      <c r="CD24" s="1071">
        <v>8</v>
      </c>
      <c r="CE24" s="1071">
        <v>8</v>
      </c>
      <c r="CF24" s="1071">
        <v>8</v>
      </c>
      <c r="CG24" s="1071">
        <v>8</v>
      </c>
      <c r="CH24" s="1071">
        <v>8</v>
      </c>
      <c r="CI24" s="1071">
        <v>8</v>
      </c>
      <c r="CJ24" s="1071">
        <v>8</v>
      </c>
      <c r="CK24" s="1071">
        <v>8</v>
      </c>
      <c r="CL24" s="1071">
        <v>8</v>
      </c>
      <c r="CM24" s="1071">
        <v>8</v>
      </c>
      <c r="CN24" s="1071">
        <v>8</v>
      </c>
      <c r="CO24" s="1071">
        <v>8</v>
      </c>
      <c r="CP24" s="1071">
        <v>8</v>
      </c>
      <c r="CQ24" s="1071">
        <v>8</v>
      </c>
      <c r="CR24" s="1071">
        <v>8</v>
      </c>
      <c r="CS24" s="1071">
        <v>8</v>
      </c>
      <c r="CT24" s="1071">
        <v>8</v>
      </c>
      <c r="CU24" s="1071">
        <v>8</v>
      </c>
      <c r="CV24" s="1071">
        <v>8</v>
      </c>
      <c r="CW24" s="1071">
        <v>8</v>
      </c>
      <c r="CX24" s="1071">
        <v>8</v>
      </c>
      <c r="CY24" s="1071">
        <v>8</v>
      </c>
      <c r="CZ24" s="1071">
        <v>8</v>
      </c>
      <c r="DA24" s="1071">
        <v>8</v>
      </c>
      <c r="DB24" s="1071">
        <v>8</v>
      </c>
      <c r="DC24" s="1071">
        <v>8</v>
      </c>
      <c r="DD24" s="1071">
        <v>8</v>
      </c>
      <c r="DE24" s="1071">
        <v>8</v>
      </c>
      <c r="DF24" s="1071">
        <v>8</v>
      </c>
      <c r="DG24" s="1071">
        <v>8</v>
      </c>
      <c r="DH24" s="1071">
        <v>8</v>
      </c>
      <c r="DI24" s="1071">
        <v>8</v>
      </c>
      <c r="DJ24" s="1071">
        <v>8</v>
      </c>
      <c r="DK24" s="1071">
        <v>8</v>
      </c>
      <c r="DL24" s="1071">
        <v>8</v>
      </c>
      <c r="DM24" s="1071">
        <v>8</v>
      </c>
      <c r="DN24" s="1071">
        <v>8</v>
      </c>
      <c r="DO24" s="1071">
        <v>8</v>
      </c>
      <c r="DP24" s="1071">
        <v>8</v>
      </c>
      <c r="DQ24" s="1071">
        <v>8</v>
      </c>
      <c r="DR24" s="1071">
        <v>8</v>
      </c>
      <c r="DS24" s="1071">
        <v>8</v>
      </c>
      <c r="DT24" s="1071">
        <v>8</v>
      </c>
      <c r="DU24" s="1071">
        <v>8</v>
      </c>
      <c r="DV24" s="1071">
        <v>8</v>
      </c>
      <c r="DW24" s="1071">
        <v>8</v>
      </c>
      <c r="DX24" s="1071">
        <v>8</v>
      </c>
      <c r="DY24" s="1071">
        <v>8</v>
      </c>
      <c r="DZ24" s="1071">
        <v>8</v>
      </c>
      <c r="EA24" s="1071">
        <v>8</v>
      </c>
      <c r="EB24" s="1071">
        <v>8</v>
      </c>
      <c r="EC24" s="1071">
        <v>8</v>
      </c>
      <c r="ED24" s="1071">
        <v>8</v>
      </c>
      <c r="EE24" s="1071">
        <v>8</v>
      </c>
      <c r="EF24" s="1071">
        <v>8</v>
      </c>
      <c r="EG24" s="1071">
        <v>8</v>
      </c>
      <c r="EH24" s="1071">
        <v>8</v>
      </c>
      <c r="EI24" s="1071">
        <v>8</v>
      </c>
      <c r="EJ24" s="1071">
        <v>8</v>
      </c>
      <c r="EK24" s="1071">
        <v>8</v>
      </c>
      <c r="EL24" s="1071">
        <v>8</v>
      </c>
      <c r="EM24" s="1071">
        <v>8</v>
      </c>
      <c r="EN24" s="1071">
        <v>8</v>
      </c>
      <c r="EO24" s="1071">
        <v>8</v>
      </c>
      <c r="EP24" s="1071">
        <v>8</v>
      </c>
      <c r="EQ24" s="1071">
        <v>8</v>
      </c>
      <c r="ER24" s="1071">
        <v>8</v>
      </c>
      <c r="ES24" s="1071">
        <v>8</v>
      </c>
      <c r="ET24" s="1071">
        <v>8</v>
      </c>
      <c r="EU24" s="1071">
        <v>8</v>
      </c>
      <c r="EV24" s="1071">
        <v>8</v>
      </c>
      <c r="EW24" s="1071">
        <v>8</v>
      </c>
      <c r="EX24" s="1071">
        <v>8</v>
      </c>
      <c r="EY24" s="1071">
        <v>8</v>
      </c>
      <c r="EZ24" s="1071">
        <v>8</v>
      </c>
      <c r="FA24" s="1071">
        <v>8</v>
      </c>
      <c r="FB24" s="1071">
        <v>8</v>
      </c>
      <c r="FC24" s="1071">
        <v>8</v>
      </c>
      <c r="FD24" s="1071">
        <v>8</v>
      </c>
      <c r="FE24" s="1071">
        <v>8</v>
      </c>
      <c r="FF24" s="1071">
        <v>8</v>
      </c>
      <c r="FG24" s="1071">
        <v>8</v>
      </c>
      <c r="FH24" s="1071">
        <v>8</v>
      </c>
      <c r="FI24" s="1071">
        <v>8</v>
      </c>
      <c r="FJ24" s="1071">
        <v>8</v>
      </c>
      <c r="FK24" s="1071">
        <v>8</v>
      </c>
      <c r="FL24" s="1071">
        <v>8</v>
      </c>
      <c r="FM24" s="1071">
        <v>8</v>
      </c>
      <c r="FN24" s="1071">
        <v>8</v>
      </c>
      <c r="FO24" s="1071">
        <v>8</v>
      </c>
      <c r="FP24" s="1071">
        <v>8</v>
      </c>
      <c r="FQ24" s="1071">
        <v>8</v>
      </c>
      <c r="FR24" s="1071">
        <v>8</v>
      </c>
      <c r="FS24" s="1071">
        <v>8</v>
      </c>
      <c r="FT24" s="1071">
        <v>8</v>
      </c>
      <c r="FU24" s="1071">
        <v>8</v>
      </c>
      <c r="FV24" s="1071">
        <v>8</v>
      </c>
      <c r="FW24" s="1071">
        <v>8</v>
      </c>
      <c r="FX24" s="1071">
        <v>8</v>
      </c>
      <c r="FY24" s="1071">
        <v>8</v>
      </c>
      <c r="FZ24" s="1071">
        <v>8</v>
      </c>
      <c r="GA24" s="1071">
        <v>8</v>
      </c>
      <c r="GB24" s="1071">
        <v>8</v>
      </c>
      <c r="GC24" s="1071">
        <v>8</v>
      </c>
      <c r="GD24" s="1071">
        <v>8</v>
      </c>
      <c r="GE24" s="1071">
        <v>8</v>
      </c>
      <c r="GF24" s="1071">
        <v>8</v>
      </c>
      <c r="GG24" s="1071">
        <v>8</v>
      </c>
      <c r="GH24" s="1071">
        <v>8</v>
      </c>
      <c r="GI24" s="1071">
        <v>8</v>
      </c>
      <c r="GJ24" s="1071">
        <v>8</v>
      </c>
      <c r="GK24" s="1071">
        <v>8</v>
      </c>
      <c r="GL24" s="1071">
        <v>8</v>
      </c>
      <c r="GM24" s="1071">
        <v>8</v>
      </c>
      <c r="GN24" s="1071">
        <v>8</v>
      </c>
      <c r="GO24" s="1071">
        <v>8</v>
      </c>
      <c r="GP24" s="1071">
        <v>8</v>
      </c>
      <c r="GQ24" s="1071">
        <v>8</v>
      </c>
      <c r="GR24" s="1071">
        <v>8</v>
      </c>
      <c r="GS24" s="1071">
        <v>8</v>
      </c>
      <c r="GT24" s="1071">
        <v>8</v>
      </c>
      <c r="GU24" s="1071">
        <v>8</v>
      </c>
      <c r="GV24" s="1071">
        <v>8</v>
      </c>
      <c r="GW24" s="1071">
        <v>8</v>
      </c>
      <c r="GX24" s="1071">
        <v>8</v>
      </c>
      <c r="GY24" s="1071">
        <v>8</v>
      </c>
      <c r="GZ24" s="1071">
        <v>8</v>
      </c>
      <c r="HA24" s="1071">
        <v>8</v>
      </c>
      <c r="HB24" s="1071">
        <v>8</v>
      </c>
      <c r="HC24" s="1071">
        <v>8</v>
      </c>
      <c r="HD24" s="1071">
        <v>8</v>
      </c>
      <c r="HE24" s="1071">
        <v>8</v>
      </c>
      <c r="HF24" s="1071">
        <v>8</v>
      </c>
      <c r="HG24" s="1071">
        <v>8</v>
      </c>
      <c r="HH24" s="1071">
        <v>8</v>
      </c>
      <c r="HI24" s="1071">
        <v>8</v>
      </c>
      <c r="HJ24" s="1071">
        <v>8</v>
      </c>
      <c r="HK24" s="1071">
        <v>8</v>
      </c>
      <c r="HL24" s="1071">
        <v>8</v>
      </c>
      <c r="HM24" s="1071">
        <v>8</v>
      </c>
      <c r="HN24" s="1071">
        <v>8</v>
      </c>
      <c r="HO24" s="1071">
        <v>8</v>
      </c>
      <c r="HP24" s="1071">
        <v>8</v>
      </c>
      <c r="HQ24" s="1071">
        <v>8</v>
      </c>
      <c r="HR24" s="1071">
        <v>8</v>
      </c>
      <c r="HS24" s="1071">
        <v>8</v>
      </c>
      <c r="HT24" s="1071">
        <v>8</v>
      </c>
      <c r="HU24" s="1071">
        <v>8</v>
      </c>
      <c r="HV24" s="1071">
        <v>8</v>
      </c>
      <c r="HW24" s="1071">
        <v>8</v>
      </c>
      <c r="HX24" s="1071">
        <v>8</v>
      </c>
      <c r="HY24" s="1071">
        <v>8</v>
      </c>
      <c r="HZ24" s="1071">
        <v>8</v>
      </c>
      <c r="IA24" s="1071">
        <v>8</v>
      </c>
      <c r="IB24" s="1071">
        <v>8</v>
      </c>
      <c r="IC24" s="1071">
        <v>8</v>
      </c>
      <c r="ID24" s="1071">
        <v>8</v>
      </c>
      <c r="IE24" s="1071">
        <v>8</v>
      </c>
      <c r="IF24" s="1071">
        <v>8</v>
      </c>
      <c r="IG24" s="1071">
        <v>8</v>
      </c>
      <c r="IH24" s="1071">
        <v>8</v>
      </c>
      <c r="II24" s="1071">
        <v>8</v>
      </c>
      <c r="IJ24" s="1071">
        <v>8</v>
      </c>
      <c r="IK24" s="1071">
        <v>8</v>
      </c>
      <c r="IL24" s="1071">
        <v>8</v>
      </c>
      <c r="IM24" s="1071">
        <v>8</v>
      </c>
      <c r="IN24" s="1071">
        <v>8</v>
      </c>
      <c r="IO24" s="1071">
        <v>8</v>
      </c>
      <c r="IP24" s="1071">
        <v>8</v>
      </c>
      <c r="IQ24" s="1071">
        <v>8</v>
      </c>
      <c r="IR24" s="1071">
        <v>8</v>
      </c>
      <c r="IS24" s="1071">
        <v>8</v>
      </c>
      <c r="IT24" s="1071">
        <v>8</v>
      </c>
      <c r="IU24" s="107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360" hidden="1"/>
    <col min="2" max="2" width="9.140625" style="2357" hidden="1"/>
    <col min="3" max="3" width="3.7109375" style="2360" hidden="1" customWidth="1"/>
    <col min="4" max="4" width="3" style="2378" customWidth="1"/>
    <col min="5" max="5" width="6" style="2360" customWidth="1"/>
    <col min="6" max="6" width="27" style="2360" customWidth="1"/>
    <col min="7" max="7" width="16" style="2360" customWidth="1"/>
    <col min="8" max="8" width="12" style="2360" customWidth="1"/>
    <col min="9" max="9" width="32" style="2360" customWidth="1"/>
    <col min="10" max="11" width="41" style="2360" customWidth="1"/>
    <col min="12" max="12" width="89" style="2360" customWidth="1"/>
    <col min="13" max="13" width="3" style="2358" customWidth="1"/>
    <col min="14" max="16" width="8" style="2358" customWidth="1"/>
    <col min="17" max="17" width="25" style="2358" customWidth="1"/>
    <col min="18" max="18" width="14" style="2358" customWidth="1"/>
    <col min="19" max="22" width="8" style="2321" customWidth="1"/>
    <col min="23" max="256" width="8" style="2360" customWidth="1"/>
    <col min="257" max="257" width="9.140625" style="2360" hidden="1"/>
  </cols>
  <sheetData>
    <row r="1" spans="1:257" ht="22.5" hidden="1" customHeight="1">
      <c r="IW1" s="1071" t="s">
        <v>14</v>
      </c>
    </row>
    <row r="2" spans="1:257" s="2398" customFormat="1" ht="22.5" hidden="1" customHeight="1">
      <c r="A2" s="761"/>
      <c r="B2" s="1076">
        <v>1</v>
      </c>
      <c r="C2" s="1076"/>
      <c r="D2" s="1837" t="s">
        <v>568</v>
      </c>
      <c r="E2" s="1801"/>
      <c r="F2" s="1804" t="str">
        <f>IF(ROIV_INFO_NAME="","",ROIV_INFO_NAME)</f>
        <v>ООО "Пятигорсктеплосервис"</v>
      </c>
      <c r="G2" s="1829" t="s">
        <v>22</v>
      </c>
      <c r="H2" s="1828"/>
      <c r="I2" s="1454"/>
      <c r="J2" s="748"/>
      <c r="K2" s="748"/>
      <c r="L2" s="165"/>
      <c r="M2" s="1451" t="e">
        <f ca="1">MERGEVALUE(F2)</f>
        <v>#NAME?</v>
      </c>
      <c r="N2" s="447"/>
      <c r="O2" s="447"/>
      <c r="P2" s="436" t="str">
        <f t="array" ref="P2">IF(ISERROR(MATCH(MID(Q2,1,250),MID(note_ter,1,250),0)),"n","y")</f>
        <v>n</v>
      </c>
      <c r="Q2" s="447"/>
      <c r="R2" s="436" t="str">
        <f>G2&amp;"("&amp;L2&amp;")"</f>
        <v>()</v>
      </c>
      <c r="S2" s="1076"/>
      <c r="T2" s="1076"/>
      <c r="U2" s="356"/>
      <c r="V2" s="1076"/>
      <c r="W2" s="1076"/>
      <c r="X2" s="107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344" customFormat="1" ht="5.25" hidden="1" customHeight="1">
      <c r="A3" s="432"/>
      <c r="D3" s="430"/>
      <c r="F3" s="184" t="s">
        <v>83</v>
      </c>
      <c r="G3" s="165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331" customFormat="1" ht="14.65" customHeight="1">
      <c r="A4" s="1071"/>
      <c r="B4" s="1076"/>
      <c r="C4" s="1071"/>
      <c r="D4" s="1411"/>
      <c r="E4" s="445"/>
      <c r="F4" s="445"/>
      <c r="G4" s="445"/>
      <c r="H4" s="445"/>
      <c r="I4" s="445"/>
      <c r="J4" s="445"/>
      <c r="K4" s="445"/>
      <c r="L4" s="103"/>
      <c r="M4" s="184"/>
      <c r="N4" s="436"/>
      <c r="O4" s="436"/>
      <c r="P4" s="436"/>
      <c r="Q4" s="163"/>
      <c r="R4" s="436"/>
      <c r="S4" s="162"/>
      <c r="T4" s="162"/>
      <c r="U4" s="162"/>
      <c r="V4" s="162"/>
      <c r="IW4" s="443">
        <v>14</v>
      </c>
    </row>
    <row r="5" spans="1:257" s="2331" customFormat="1" ht="27.4" customHeight="1">
      <c r="A5" s="1071"/>
      <c r="B5" s="1076"/>
      <c r="C5" s="1071"/>
      <c r="D5" s="1411"/>
      <c r="E5" s="24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21"/>
      <c r="G5" s="2421"/>
      <c r="H5" s="2421"/>
      <c r="I5" s="2421"/>
      <c r="J5" s="2421"/>
      <c r="K5" s="2421"/>
      <c r="L5" s="524"/>
      <c r="M5" s="184"/>
      <c r="N5" s="436"/>
      <c r="O5" s="436"/>
      <c r="P5" s="436"/>
      <c r="Q5" s="163"/>
      <c r="R5" s="436"/>
      <c r="S5" s="162"/>
      <c r="T5" s="162"/>
      <c r="U5" s="162"/>
      <c r="V5" s="162"/>
      <c r="IW5" s="443">
        <v>26</v>
      </c>
    </row>
    <row r="6" spans="1:257" s="2331" customFormat="1" ht="14.65" customHeight="1">
      <c r="A6" s="1071"/>
      <c r="B6" s="1076"/>
      <c r="C6" s="1071"/>
      <c r="D6" s="1411"/>
      <c r="E6" s="445"/>
      <c r="F6" s="104"/>
      <c r="G6" s="104"/>
      <c r="H6" s="104"/>
      <c r="I6" s="104"/>
      <c r="J6" s="104"/>
      <c r="K6" s="104"/>
      <c r="L6" s="105"/>
      <c r="M6" s="436"/>
      <c r="N6" s="436"/>
      <c r="O6" s="436"/>
      <c r="P6" s="436"/>
      <c r="Q6" s="163"/>
      <c r="R6" s="436"/>
      <c r="S6" s="162"/>
      <c r="T6" s="162"/>
      <c r="U6" s="162"/>
      <c r="V6" s="162"/>
      <c r="IW6" s="443">
        <v>14</v>
      </c>
    </row>
    <row r="7" spans="1:257" s="2331" customFormat="1" ht="14.65" customHeight="1">
      <c r="A7" s="1071"/>
      <c r="B7" s="1076"/>
      <c r="C7" s="1071"/>
      <c r="D7" s="1411"/>
      <c r="E7" s="2417" t="s">
        <v>299</v>
      </c>
      <c r="F7" s="2422"/>
      <c r="G7" s="2422"/>
      <c r="H7" s="2422"/>
      <c r="I7" s="2422"/>
      <c r="J7" s="2422"/>
      <c r="K7" s="2422"/>
      <c r="L7" s="2772" t="s">
        <v>300</v>
      </c>
      <c r="M7" s="436"/>
      <c r="N7" s="436"/>
      <c r="O7" s="436"/>
      <c r="P7" s="436"/>
      <c r="Q7" s="163"/>
      <c r="R7" s="436"/>
      <c r="S7" s="162"/>
      <c r="T7" s="162"/>
      <c r="U7" s="162"/>
      <c r="V7" s="162"/>
      <c r="IW7" s="443">
        <v>14</v>
      </c>
    </row>
    <row r="8" spans="1:257" s="2331" customFormat="1" ht="67.150000000000006" customHeight="1">
      <c r="A8" s="1071"/>
      <c r="B8" s="1076"/>
      <c r="C8" s="1071"/>
      <c r="D8" s="1411"/>
      <c r="E8" s="2776" t="s">
        <v>88</v>
      </c>
      <c r="F8" s="277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7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79"/>
      <c r="I8" s="2780"/>
      <c r="J8" s="277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74"/>
      <c r="M8" s="436"/>
      <c r="N8" s="436"/>
      <c r="O8" s="436"/>
      <c r="P8" s="436"/>
      <c r="Q8" s="163"/>
      <c r="R8" s="436"/>
      <c r="S8" s="162"/>
      <c r="T8" s="162"/>
      <c r="U8" s="162"/>
      <c r="V8" s="162"/>
      <c r="IW8" s="443">
        <v>64</v>
      </c>
    </row>
    <row r="9" spans="1:257" s="2331" customFormat="1" ht="29.25" customHeight="1">
      <c r="A9" s="1071"/>
      <c r="B9" s="1076"/>
      <c r="C9" s="1071"/>
      <c r="D9" s="1411"/>
      <c r="E9" s="2777"/>
      <c r="F9" s="2777"/>
      <c r="G9" s="1453" t="s">
        <v>2023</v>
      </c>
      <c r="H9" s="1453" t="s">
        <v>2024</v>
      </c>
      <c r="I9" s="1453" t="s">
        <v>2025</v>
      </c>
      <c r="J9" s="2777"/>
      <c r="K9" s="2777"/>
      <c r="L9" s="2773"/>
      <c r="M9" s="436"/>
      <c r="N9" s="436"/>
      <c r="O9" s="436"/>
      <c r="P9" s="436"/>
      <c r="Q9" s="163"/>
      <c r="R9" s="436"/>
      <c r="S9" s="162"/>
      <c r="T9" s="162"/>
      <c r="U9" s="162"/>
      <c r="V9" s="162"/>
      <c r="IW9" s="443">
        <v>28</v>
      </c>
    </row>
    <row r="10" spans="1:257" s="2398" customFormat="1" ht="23.25" customHeight="1">
      <c r="A10" s="2420"/>
      <c r="B10" s="1076">
        <v>1</v>
      </c>
      <c r="C10" s="1076"/>
      <c r="D10" s="730"/>
      <c r="E10" s="728">
        <v>1</v>
      </c>
      <c r="F10" s="1455" t="str">
        <f>IF(ROIV_INFO_NAME="","",ROIV_INFO_NAME)</f>
        <v>ООО "Пятигорсктеплосервис"</v>
      </c>
      <c r="G10" s="1647" t="s">
        <v>22</v>
      </c>
      <c r="H10" s="1828"/>
      <c r="I10" s="1450"/>
      <c r="J10" s="748"/>
      <c r="K10" s="748"/>
      <c r="L10" s="27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6"/>
      <c r="T10" s="1076"/>
      <c r="U10" s="356"/>
      <c r="V10" s="1076"/>
      <c r="W10" s="1076"/>
      <c r="X10" s="107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398" customFormat="1" ht="15.75" customHeight="1">
      <c r="A11" s="2420"/>
      <c r="B11" s="1076"/>
      <c r="C11" s="348"/>
      <c r="D11" s="731"/>
      <c r="E11" s="357"/>
      <c r="F11" s="352" t="s">
        <v>2026</v>
      </c>
      <c r="G11" s="124"/>
      <c r="H11" s="124"/>
      <c r="I11" s="124"/>
      <c r="J11" s="124"/>
      <c r="K11" s="360"/>
      <c r="L11" s="2775"/>
      <c r="M11" s="1452"/>
      <c r="N11" s="447"/>
      <c r="O11" s="447"/>
      <c r="P11" s="447"/>
      <c r="Q11" s="436"/>
      <c r="R11" s="447"/>
      <c r="S11" s="1076"/>
      <c r="T11" s="1076"/>
      <c r="U11" s="356"/>
      <c r="V11" s="1076"/>
      <c r="W11" s="1076"/>
      <c r="X11" s="107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331" customFormat="1" ht="21.95" customHeight="1">
      <c r="A12" s="1071"/>
      <c r="B12" s="1076"/>
      <c r="C12" s="1071"/>
      <c r="D12" s="387"/>
      <c r="E12" s="117"/>
      <c r="F12" s="117"/>
      <c r="G12" s="117"/>
      <c r="H12" s="117"/>
      <c r="I12" s="117"/>
      <c r="J12" s="117"/>
      <c r="K12" s="117"/>
      <c r="L12" s="117"/>
      <c r="M12" s="436"/>
      <c r="N12" s="436"/>
      <c r="O12" s="436"/>
      <c r="P12" s="436"/>
      <c r="Q12" s="163"/>
      <c r="R12" s="436"/>
      <c r="S12" s="162"/>
      <c r="T12" s="162"/>
      <c r="U12" s="162"/>
      <c r="V12" s="162"/>
      <c r="IW12" s="443">
        <v>21</v>
      </c>
    </row>
    <row r="13" spans="1:257" s="2331" customFormat="1" ht="14.65" customHeight="1">
      <c r="A13" s="1071"/>
      <c r="B13" s="1076"/>
      <c r="C13" s="1071"/>
      <c r="D13" s="387"/>
      <c r="E13" s="1071"/>
      <c r="F13" s="1071"/>
      <c r="G13" s="1071"/>
      <c r="H13" s="1071"/>
      <c r="I13" s="1071"/>
      <c r="J13" s="1071"/>
      <c r="K13" s="1071"/>
      <c r="L13" s="1071"/>
      <c r="M13" s="436"/>
      <c r="N13" s="436"/>
      <c r="O13" s="436"/>
      <c r="P13" s="436"/>
      <c r="Q13" s="163"/>
      <c r="R13" s="436"/>
      <c r="S13" s="162"/>
      <c r="T13" s="162"/>
      <c r="U13" s="162"/>
      <c r="V13" s="162"/>
      <c r="IW13" s="443">
        <v>14</v>
      </c>
    </row>
    <row r="14" spans="1:257" s="2331" customFormat="1" ht="1.1499999999999999" customHeight="1">
      <c r="A14" s="1071"/>
      <c r="B14" s="1076"/>
      <c r="C14" s="1071"/>
      <c r="D14" s="387"/>
      <c r="E14" s="1071"/>
      <c r="F14" s="1071"/>
      <c r="G14" s="1071"/>
      <c r="H14" s="1071"/>
      <c r="I14" s="1071"/>
      <c r="J14" s="1071"/>
      <c r="K14" s="1071"/>
      <c r="L14" s="1071"/>
      <c r="M14" s="436"/>
      <c r="N14" s="436"/>
      <c r="O14" s="436"/>
      <c r="P14" s="436"/>
      <c r="Q14" s="163"/>
      <c r="R14" s="436"/>
      <c r="S14" s="162"/>
      <c r="T14" s="162"/>
      <c r="U14" s="162"/>
      <c r="V14" s="162"/>
      <c r="IW14" s="443">
        <v>1</v>
      </c>
    </row>
    <row r="15" spans="1:257" ht="22.5" hidden="1" customHeight="1">
      <c r="A15" s="1071" t="s">
        <v>82</v>
      </c>
      <c r="B15" s="1076">
        <v>0</v>
      </c>
      <c r="C15" s="1071">
        <v>0</v>
      </c>
      <c r="D15" s="387">
        <v>3</v>
      </c>
      <c r="E15" s="1071">
        <v>6</v>
      </c>
      <c r="F15" s="1071">
        <v>27</v>
      </c>
      <c r="G15" s="1071">
        <v>16</v>
      </c>
      <c r="H15" s="1071">
        <v>12</v>
      </c>
      <c r="I15" s="1071">
        <v>32</v>
      </c>
      <c r="J15" s="1071">
        <v>41</v>
      </c>
      <c r="K15" s="1071">
        <v>41</v>
      </c>
      <c r="L15" s="1071">
        <v>89</v>
      </c>
      <c r="M15" s="436">
        <v>3</v>
      </c>
      <c r="N15" s="436">
        <v>8</v>
      </c>
      <c r="O15" s="436">
        <v>8</v>
      </c>
      <c r="P15" s="436">
        <v>8</v>
      </c>
      <c r="Q15" s="163">
        <v>25</v>
      </c>
      <c r="R15" s="436">
        <v>14</v>
      </c>
      <c r="S15" s="162">
        <v>8</v>
      </c>
      <c r="T15" s="162">
        <v>8</v>
      </c>
      <c r="U15" s="162">
        <v>8</v>
      </c>
      <c r="V15" s="162">
        <v>8</v>
      </c>
      <c r="W15" s="1071">
        <v>8</v>
      </c>
      <c r="X15" s="1071">
        <v>8</v>
      </c>
      <c r="Y15" s="1071">
        <v>8</v>
      </c>
      <c r="Z15" s="1071">
        <v>8</v>
      </c>
      <c r="AA15" s="1071">
        <v>8</v>
      </c>
      <c r="AB15" s="1071">
        <v>8</v>
      </c>
      <c r="AC15" s="1071">
        <v>8</v>
      </c>
      <c r="AD15" s="1071">
        <v>8</v>
      </c>
      <c r="AE15" s="1071">
        <v>8</v>
      </c>
      <c r="AF15" s="1071">
        <v>8</v>
      </c>
      <c r="AG15" s="1071">
        <v>8</v>
      </c>
      <c r="AH15" s="1071">
        <v>8</v>
      </c>
      <c r="AI15" s="1071">
        <v>8</v>
      </c>
      <c r="AJ15" s="1071">
        <v>8</v>
      </c>
      <c r="AK15" s="1071">
        <v>8</v>
      </c>
      <c r="AL15" s="1071">
        <v>8</v>
      </c>
      <c r="AM15" s="1071">
        <v>8</v>
      </c>
      <c r="AN15" s="1071">
        <v>8</v>
      </c>
      <c r="AO15" s="1071">
        <v>8</v>
      </c>
      <c r="AP15" s="1071">
        <v>8</v>
      </c>
      <c r="AQ15" s="1071">
        <v>8</v>
      </c>
      <c r="AR15" s="1071">
        <v>8</v>
      </c>
      <c r="AS15" s="1071">
        <v>8</v>
      </c>
      <c r="AT15" s="1071">
        <v>8</v>
      </c>
      <c r="AU15" s="1071">
        <v>8</v>
      </c>
      <c r="AV15" s="1071">
        <v>8</v>
      </c>
      <c r="AW15" s="1071">
        <v>8</v>
      </c>
      <c r="AX15" s="1071">
        <v>8</v>
      </c>
      <c r="AY15" s="1071">
        <v>8</v>
      </c>
      <c r="AZ15" s="1071">
        <v>8</v>
      </c>
      <c r="BA15" s="1071">
        <v>8</v>
      </c>
      <c r="BB15" s="1071">
        <v>8</v>
      </c>
      <c r="BC15" s="1071">
        <v>8</v>
      </c>
      <c r="BD15" s="1071">
        <v>8</v>
      </c>
      <c r="BE15" s="1071">
        <v>8</v>
      </c>
      <c r="BF15" s="1071">
        <v>8</v>
      </c>
      <c r="BG15" s="1071">
        <v>8</v>
      </c>
      <c r="BH15" s="1071">
        <v>8</v>
      </c>
      <c r="BI15" s="1071">
        <v>8</v>
      </c>
      <c r="BJ15" s="1071">
        <v>8</v>
      </c>
      <c r="BK15" s="1071">
        <v>8</v>
      </c>
      <c r="BL15" s="1071">
        <v>8</v>
      </c>
      <c r="BM15" s="1071">
        <v>8</v>
      </c>
      <c r="BN15" s="1071">
        <v>8</v>
      </c>
      <c r="BO15" s="1071">
        <v>8</v>
      </c>
      <c r="BP15" s="1071">
        <v>8</v>
      </c>
      <c r="BQ15" s="1071">
        <v>8</v>
      </c>
      <c r="BR15" s="1071">
        <v>8</v>
      </c>
      <c r="BS15" s="1071">
        <v>8</v>
      </c>
      <c r="BT15" s="1071">
        <v>8</v>
      </c>
      <c r="BU15" s="1071">
        <v>8</v>
      </c>
      <c r="BV15" s="1071">
        <v>8</v>
      </c>
      <c r="BW15" s="1071">
        <v>8</v>
      </c>
      <c r="BX15" s="1071">
        <v>8</v>
      </c>
      <c r="BY15" s="1071">
        <v>8</v>
      </c>
      <c r="BZ15" s="1071">
        <v>8</v>
      </c>
      <c r="CA15" s="1071">
        <v>8</v>
      </c>
      <c r="CB15" s="1071">
        <v>8</v>
      </c>
      <c r="CC15" s="1071">
        <v>8</v>
      </c>
      <c r="CD15" s="1071">
        <v>8</v>
      </c>
      <c r="CE15" s="1071">
        <v>8</v>
      </c>
      <c r="CF15" s="1071">
        <v>8</v>
      </c>
      <c r="CG15" s="1071">
        <v>8</v>
      </c>
      <c r="CH15" s="1071">
        <v>8</v>
      </c>
      <c r="CI15" s="1071">
        <v>8</v>
      </c>
      <c r="CJ15" s="1071">
        <v>8</v>
      </c>
      <c r="CK15" s="1071">
        <v>8</v>
      </c>
      <c r="CL15" s="1071">
        <v>8</v>
      </c>
      <c r="CM15" s="1071">
        <v>8</v>
      </c>
      <c r="CN15" s="1071">
        <v>8</v>
      </c>
      <c r="CO15" s="1071">
        <v>8</v>
      </c>
      <c r="CP15" s="1071">
        <v>8</v>
      </c>
      <c r="CQ15" s="1071">
        <v>8</v>
      </c>
      <c r="CR15" s="1071">
        <v>8</v>
      </c>
      <c r="CS15" s="1071">
        <v>8</v>
      </c>
      <c r="CT15" s="1071">
        <v>8</v>
      </c>
      <c r="CU15" s="1071">
        <v>8</v>
      </c>
      <c r="CV15" s="1071">
        <v>8</v>
      </c>
      <c r="CW15" s="1071">
        <v>8</v>
      </c>
      <c r="CX15" s="1071">
        <v>8</v>
      </c>
      <c r="CY15" s="1071">
        <v>8</v>
      </c>
      <c r="CZ15" s="1071">
        <v>8</v>
      </c>
      <c r="DA15" s="1071">
        <v>8</v>
      </c>
      <c r="DB15" s="1071">
        <v>8</v>
      </c>
      <c r="DC15" s="1071">
        <v>8</v>
      </c>
      <c r="DD15" s="1071">
        <v>8</v>
      </c>
      <c r="DE15" s="1071">
        <v>8</v>
      </c>
      <c r="DF15" s="1071">
        <v>8</v>
      </c>
      <c r="DG15" s="1071">
        <v>8</v>
      </c>
      <c r="DH15" s="1071">
        <v>8</v>
      </c>
      <c r="DI15" s="1071">
        <v>8</v>
      </c>
      <c r="DJ15" s="1071">
        <v>8</v>
      </c>
      <c r="DK15" s="1071">
        <v>8</v>
      </c>
      <c r="DL15" s="1071">
        <v>8</v>
      </c>
      <c r="DM15" s="1071">
        <v>8</v>
      </c>
      <c r="DN15" s="1071">
        <v>8</v>
      </c>
      <c r="DO15" s="1071">
        <v>8</v>
      </c>
      <c r="DP15" s="1071">
        <v>8</v>
      </c>
      <c r="DQ15" s="1071">
        <v>8</v>
      </c>
      <c r="DR15" s="1071">
        <v>8</v>
      </c>
      <c r="DS15" s="1071">
        <v>8</v>
      </c>
      <c r="DT15" s="1071">
        <v>8</v>
      </c>
      <c r="DU15" s="1071">
        <v>8</v>
      </c>
      <c r="DV15" s="1071">
        <v>8</v>
      </c>
      <c r="DW15" s="1071">
        <v>8</v>
      </c>
      <c r="DX15" s="1071">
        <v>8</v>
      </c>
      <c r="DY15" s="1071">
        <v>8</v>
      </c>
      <c r="DZ15" s="1071">
        <v>8</v>
      </c>
      <c r="EA15" s="1071">
        <v>8</v>
      </c>
      <c r="EB15" s="1071">
        <v>8</v>
      </c>
      <c r="EC15" s="1071">
        <v>8</v>
      </c>
      <c r="ED15" s="1071">
        <v>8</v>
      </c>
      <c r="EE15" s="1071">
        <v>8</v>
      </c>
      <c r="EF15" s="1071">
        <v>8</v>
      </c>
      <c r="EG15" s="1071">
        <v>8</v>
      </c>
      <c r="EH15" s="1071">
        <v>8</v>
      </c>
      <c r="EI15" s="1071">
        <v>8</v>
      </c>
      <c r="EJ15" s="1071">
        <v>8</v>
      </c>
      <c r="EK15" s="1071">
        <v>8</v>
      </c>
      <c r="EL15" s="1071">
        <v>8</v>
      </c>
      <c r="EM15" s="1071">
        <v>8</v>
      </c>
      <c r="EN15" s="1071">
        <v>8</v>
      </c>
      <c r="EO15" s="1071">
        <v>8</v>
      </c>
      <c r="EP15" s="1071">
        <v>8</v>
      </c>
      <c r="EQ15" s="1071">
        <v>8</v>
      </c>
      <c r="ER15" s="1071">
        <v>8</v>
      </c>
      <c r="ES15" s="1071">
        <v>8</v>
      </c>
      <c r="ET15" s="1071">
        <v>8</v>
      </c>
      <c r="EU15" s="1071">
        <v>8</v>
      </c>
      <c r="EV15" s="1071">
        <v>8</v>
      </c>
      <c r="EW15" s="1071">
        <v>8</v>
      </c>
      <c r="EX15" s="1071">
        <v>8</v>
      </c>
      <c r="EY15" s="1071">
        <v>8</v>
      </c>
      <c r="EZ15" s="1071">
        <v>8</v>
      </c>
      <c r="FA15" s="1071">
        <v>8</v>
      </c>
      <c r="FB15" s="1071">
        <v>8</v>
      </c>
      <c r="FC15" s="1071">
        <v>8</v>
      </c>
      <c r="FD15" s="1071">
        <v>8</v>
      </c>
      <c r="FE15" s="1071">
        <v>8</v>
      </c>
      <c r="FF15" s="1071">
        <v>8</v>
      </c>
      <c r="FG15" s="1071">
        <v>8</v>
      </c>
      <c r="FH15" s="1071">
        <v>8</v>
      </c>
      <c r="FI15" s="1071">
        <v>8</v>
      </c>
      <c r="FJ15" s="1071">
        <v>8</v>
      </c>
      <c r="FK15" s="1071">
        <v>8</v>
      </c>
      <c r="FL15" s="1071">
        <v>8</v>
      </c>
      <c r="FM15" s="1071">
        <v>8</v>
      </c>
      <c r="FN15" s="1071">
        <v>8</v>
      </c>
      <c r="FO15" s="1071">
        <v>8</v>
      </c>
      <c r="FP15" s="1071">
        <v>8</v>
      </c>
      <c r="FQ15" s="1071">
        <v>8</v>
      </c>
      <c r="FR15" s="1071">
        <v>8</v>
      </c>
      <c r="FS15" s="1071">
        <v>8</v>
      </c>
      <c r="FT15" s="1071">
        <v>8</v>
      </c>
      <c r="FU15" s="1071">
        <v>8</v>
      </c>
      <c r="FV15" s="1071">
        <v>8</v>
      </c>
      <c r="FW15" s="1071">
        <v>8</v>
      </c>
      <c r="FX15" s="1071">
        <v>8</v>
      </c>
      <c r="FY15" s="1071">
        <v>8</v>
      </c>
      <c r="FZ15" s="1071">
        <v>8</v>
      </c>
      <c r="GA15" s="1071">
        <v>8</v>
      </c>
      <c r="GB15" s="1071">
        <v>8</v>
      </c>
      <c r="GC15" s="1071">
        <v>8</v>
      </c>
      <c r="GD15" s="1071">
        <v>8</v>
      </c>
      <c r="GE15" s="1071">
        <v>8</v>
      </c>
      <c r="GF15" s="1071">
        <v>8</v>
      </c>
      <c r="GG15" s="1071">
        <v>8</v>
      </c>
      <c r="GH15" s="1071">
        <v>8</v>
      </c>
      <c r="GI15" s="1071">
        <v>8</v>
      </c>
      <c r="GJ15" s="1071">
        <v>8</v>
      </c>
      <c r="GK15" s="1071">
        <v>8</v>
      </c>
      <c r="GL15" s="1071">
        <v>8</v>
      </c>
      <c r="GM15" s="1071">
        <v>8</v>
      </c>
      <c r="GN15" s="1071">
        <v>8</v>
      </c>
      <c r="GO15" s="1071">
        <v>8</v>
      </c>
      <c r="GP15" s="1071">
        <v>8</v>
      </c>
      <c r="GQ15" s="1071">
        <v>8</v>
      </c>
      <c r="GR15" s="1071">
        <v>8</v>
      </c>
      <c r="GS15" s="1071">
        <v>8</v>
      </c>
      <c r="GT15" s="1071">
        <v>8</v>
      </c>
      <c r="GU15" s="1071">
        <v>8</v>
      </c>
      <c r="GV15" s="1071">
        <v>8</v>
      </c>
      <c r="GW15" s="1071">
        <v>8</v>
      </c>
      <c r="GX15" s="1071">
        <v>8</v>
      </c>
      <c r="GY15" s="1071">
        <v>8</v>
      </c>
      <c r="GZ15" s="1071">
        <v>8</v>
      </c>
      <c r="HA15" s="1071">
        <v>8</v>
      </c>
      <c r="HB15" s="1071">
        <v>8</v>
      </c>
      <c r="HC15" s="1071">
        <v>8</v>
      </c>
      <c r="HD15" s="1071">
        <v>8</v>
      </c>
      <c r="HE15" s="1071">
        <v>8</v>
      </c>
      <c r="HF15" s="1071">
        <v>8</v>
      </c>
      <c r="HG15" s="1071">
        <v>8</v>
      </c>
      <c r="HH15" s="1071">
        <v>8</v>
      </c>
      <c r="HI15" s="1071">
        <v>8</v>
      </c>
      <c r="HJ15" s="1071">
        <v>8</v>
      </c>
      <c r="HK15" s="1071">
        <v>8</v>
      </c>
      <c r="HL15" s="1071">
        <v>8</v>
      </c>
      <c r="HM15" s="1071">
        <v>8</v>
      </c>
      <c r="HN15" s="1071">
        <v>8</v>
      </c>
      <c r="HO15" s="1071">
        <v>8</v>
      </c>
      <c r="HP15" s="1071">
        <v>8</v>
      </c>
      <c r="HQ15" s="1071">
        <v>8</v>
      </c>
      <c r="HR15" s="1071">
        <v>8</v>
      </c>
      <c r="HS15" s="1071">
        <v>8</v>
      </c>
      <c r="HT15" s="1071">
        <v>8</v>
      </c>
      <c r="HU15" s="1071">
        <v>8</v>
      </c>
      <c r="HV15" s="1071">
        <v>8</v>
      </c>
      <c r="HW15" s="1071">
        <v>8</v>
      </c>
      <c r="HX15" s="1071">
        <v>8</v>
      </c>
      <c r="HY15" s="1071">
        <v>8</v>
      </c>
      <c r="HZ15" s="1071">
        <v>8</v>
      </c>
      <c r="IA15" s="1071">
        <v>8</v>
      </c>
      <c r="IB15" s="1071">
        <v>8</v>
      </c>
      <c r="IC15" s="1071">
        <v>8</v>
      </c>
      <c r="ID15" s="1071">
        <v>8</v>
      </c>
      <c r="IE15" s="1071">
        <v>8</v>
      </c>
      <c r="IF15" s="1071">
        <v>8</v>
      </c>
      <c r="IG15" s="1071">
        <v>8</v>
      </c>
      <c r="IH15" s="1071">
        <v>8</v>
      </c>
      <c r="II15" s="1071">
        <v>8</v>
      </c>
      <c r="IJ15" s="1071">
        <v>8</v>
      </c>
      <c r="IK15" s="1071">
        <v>8</v>
      </c>
      <c r="IL15" s="1071">
        <v>8</v>
      </c>
      <c r="IM15" s="1071">
        <v>8</v>
      </c>
      <c r="IN15" s="1071">
        <v>8</v>
      </c>
      <c r="IO15" s="1071">
        <v>8</v>
      </c>
      <c r="IP15" s="1071">
        <v>8</v>
      </c>
      <c r="IQ15" s="1071">
        <v>8</v>
      </c>
      <c r="IR15" s="1071">
        <v>8</v>
      </c>
      <c r="IS15" s="1071">
        <v>8</v>
      </c>
      <c r="IT15" s="1071">
        <v>8</v>
      </c>
      <c r="IU15" s="1071">
        <v>8</v>
      </c>
      <c r="IV15" s="1071">
        <v>8</v>
      </c>
      <c r="IW15" s="107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360" hidden="1"/>
    <col min="2" max="2" width="9.140625" style="2357" hidden="1"/>
    <col min="3" max="3" width="3.7109375" style="2360" hidden="1" customWidth="1"/>
    <col min="4" max="4" width="3" style="2378" customWidth="1"/>
    <col min="5" max="5" width="6" style="2360" customWidth="1"/>
    <col min="6" max="6" width="27" style="2360" customWidth="1"/>
    <col min="7" max="7" width="16" style="2360" customWidth="1"/>
    <col min="8" max="8" width="12" style="2360" customWidth="1"/>
    <col min="9" max="9" width="32" style="2360" customWidth="1"/>
    <col min="10" max="11" width="41" style="2360" customWidth="1"/>
    <col min="12" max="12" width="89" style="2360" customWidth="1"/>
    <col min="13" max="13" width="3" style="2358" customWidth="1"/>
    <col min="14" max="16" width="8" style="2358" customWidth="1"/>
    <col min="17" max="17" width="25" style="2358" customWidth="1"/>
    <col min="18" max="18" width="14" style="2358" customWidth="1"/>
    <col min="19" max="22" width="8" style="2321" customWidth="1"/>
    <col min="23" max="256" width="8" style="2360" customWidth="1"/>
    <col min="257" max="257" width="9.140625" style="2360" hidden="1"/>
  </cols>
  <sheetData>
    <row r="1" spans="1:257" ht="22.5" hidden="1" customHeight="1">
      <c r="IW1" s="1547" t="s">
        <v>14</v>
      </c>
    </row>
    <row r="2" spans="1:257" s="2398" customFormat="1" ht="22.5" hidden="1" customHeight="1">
      <c r="A2" s="761"/>
      <c r="B2" s="1282">
        <v>1</v>
      </c>
      <c r="C2" s="1282"/>
      <c r="D2" s="1837" t="s">
        <v>568</v>
      </c>
      <c r="E2" s="1816"/>
      <c r="F2" s="1818" t="str">
        <f>IF(ROIV_INFO_NAME="","",ROIV_INFO_NAME)</f>
        <v>ООО "Пятигорсктеплосервис"</v>
      </c>
      <c r="G2" s="1647" t="s">
        <v>22</v>
      </c>
      <c r="H2" s="1828"/>
      <c r="I2" s="1454"/>
      <c r="J2" s="748"/>
      <c r="K2" s="748"/>
      <c r="L2" s="165"/>
      <c r="M2" s="1451" t="e">
        <f ca="1">MERGEVALUE(F2)</f>
        <v>#NAME?</v>
      </c>
      <c r="N2" s="1552"/>
      <c r="O2" s="1552"/>
      <c r="P2" s="1540" t="str">
        <f t="array" ref="P2">IF(ISERROR(MATCH(MID(Q2,1,250),MID(note_ter,1,250),0)),"n","y")</f>
        <v>n</v>
      </c>
      <c r="Q2" s="1552"/>
      <c r="R2" s="1540" t="str">
        <f>G2&amp;"("&amp;L2&amp;")"</f>
        <v>()</v>
      </c>
      <c r="S2" s="1282"/>
      <c r="T2" s="1282"/>
      <c r="U2" s="356"/>
      <c r="V2" s="1282"/>
      <c r="W2" s="1282"/>
      <c r="X2" s="128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344" customFormat="1" ht="5.25" hidden="1" customHeight="1">
      <c r="A3" s="1557"/>
      <c r="D3" s="1805"/>
      <c r="F3" s="185" t="s">
        <v>83</v>
      </c>
      <c r="G3" s="1650" t="s">
        <v>84</v>
      </c>
      <c r="H3" s="1805"/>
      <c r="I3" s="1805"/>
      <c r="J3" s="1805"/>
      <c r="K3" s="1805"/>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2">
        <v>0</v>
      </c>
    </row>
    <row r="4" spans="1:257" s="2331" customFormat="1" ht="14.65" customHeight="1">
      <c r="A4" s="1547"/>
      <c r="B4" s="1282"/>
      <c r="C4" s="1547"/>
      <c r="D4" s="1431"/>
      <c r="E4" s="1551"/>
      <c r="F4" s="1551"/>
      <c r="G4" s="1551"/>
      <c r="H4" s="1551"/>
      <c r="I4" s="1551"/>
      <c r="J4" s="1551"/>
      <c r="K4" s="1551"/>
      <c r="L4" s="1807"/>
      <c r="M4" s="185"/>
      <c r="N4" s="1540"/>
      <c r="O4" s="1540"/>
      <c r="P4" s="1540"/>
      <c r="Q4" s="1540"/>
      <c r="R4" s="1540"/>
      <c r="S4" s="162"/>
      <c r="T4" s="162"/>
      <c r="U4" s="162"/>
      <c r="V4" s="162"/>
      <c r="IW4" s="1525">
        <v>14</v>
      </c>
    </row>
    <row r="5" spans="1:257" s="2331" customFormat="1" ht="27.4" customHeight="1">
      <c r="A5" s="1547"/>
      <c r="B5" s="1282"/>
      <c r="C5" s="1547"/>
      <c r="D5" s="1431"/>
      <c r="E5" s="24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21"/>
      <c r="G5" s="2421"/>
      <c r="H5" s="2421"/>
      <c r="I5" s="2421"/>
      <c r="J5" s="2421"/>
      <c r="K5" s="2421"/>
      <c r="L5" s="1551"/>
      <c r="M5" s="185"/>
      <c r="N5" s="1540"/>
      <c r="O5" s="1540"/>
      <c r="P5" s="1540"/>
      <c r="Q5" s="1540"/>
      <c r="R5" s="1540"/>
      <c r="S5" s="162"/>
      <c r="T5" s="162"/>
      <c r="U5" s="162"/>
      <c r="V5" s="162"/>
      <c r="IW5" s="1525">
        <v>26</v>
      </c>
    </row>
    <row r="6" spans="1:257" s="2331" customFormat="1" ht="14.65" customHeight="1">
      <c r="A6" s="1547"/>
      <c r="B6" s="1282"/>
      <c r="C6" s="1547"/>
      <c r="D6" s="1431"/>
      <c r="E6" s="1551"/>
      <c r="F6" s="552"/>
      <c r="G6" s="552"/>
      <c r="H6" s="552"/>
      <c r="I6" s="552"/>
      <c r="J6" s="552"/>
      <c r="K6" s="552"/>
      <c r="L6" s="1168"/>
      <c r="M6" s="1540"/>
      <c r="N6" s="1540"/>
      <c r="O6" s="1540"/>
      <c r="P6" s="1540"/>
      <c r="Q6" s="1540"/>
      <c r="R6" s="1540"/>
      <c r="S6" s="162"/>
      <c r="T6" s="162"/>
      <c r="U6" s="162"/>
      <c r="V6" s="162"/>
      <c r="IW6" s="1525">
        <v>14</v>
      </c>
    </row>
    <row r="7" spans="1:257" s="2331" customFormat="1" ht="14.65" customHeight="1">
      <c r="A7" s="1547"/>
      <c r="B7" s="1282"/>
      <c r="C7" s="1547"/>
      <c r="D7" s="1431"/>
      <c r="E7" s="2417" t="s">
        <v>299</v>
      </c>
      <c r="F7" s="2422"/>
      <c r="G7" s="2422"/>
      <c r="H7" s="2422"/>
      <c r="I7" s="2422"/>
      <c r="J7" s="2422"/>
      <c r="K7" s="2422"/>
      <c r="L7" s="2772" t="s">
        <v>300</v>
      </c>
      <c r="M7" s="1540"/>
      <c r="N7" s="1540"/>
      <c r="O7" s="1540"/>
      <c r="P7" s="1540"/>
      <c r="Q7" s="1540"/>
      <c r="R7" s="1540"/>
      <c r="S7" s="162"/>
      <c r="T7" s="162"/>
      <c r="U7" s="162"/>
      <c r="V7" s="162"/>
      <c r="IW7" s="1525">
        <v>14</v>
      </c>
    </row>
    <row r="8" spans="1:257" s="2331" customFormat="1" ht="67.150000000000006" customHeight="1">
      <c r="A8" s="1547"/>
      <c r="B8" s="1282"/>
      <c r="C8" s="1547"/>
      <c r="D8" s="1431"/>
      <c r="E8" s="2776" t="s">
        <v>88</v>
      </c>
      <c r="F8" s="2776" t="s">
        <v>2027</v>
      </c>
      <c r="G8" s="2778" t="s">
        <v>2028</v>
      </c>
      <c r="H8" s="2779"/>
      <c r="I8" s="2780"/>
      <c r="J8" s="2776" t="s">
        <v>2029</v>
      </c>
      <c r="K8" s="27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74"/>
      <c r="M8" s="1540"/>
      <c r="N8" s="1540"/>
      <c r="O8" s="1540"/>
      <c r="P8" s="1540"/>
      <c r="Q8" s="1540"/>
      <c r="R8" s="1540"/>
      <c r="S8" s="162"/>
      <c r="T8" s="162"/>
      <c r="U8" s="162"/>
      <c r="V8" s="162"/>
      <c r="IW8" s="1525">
        <v>64</v>
      </c>
    </row>
    <row r="9" spans="1:257" s="2331" customFormat="1" ht="29.25" customHeight="1">
      <c r="A9" s="1547"/>
      <c r="B9" s="1282"/>
      <c r="C9" s="1547"/>
      <c r="D9" s="1431"/>
      <c r="E9" s="2777"/>
      <c r="F9" s="2777"/>
      <c r="G9" s="1806" t="s">
        <v>2023</v>
      </c>
      <c r="H9" s="1806" t="s">
        <v>2024</v>
      </c>
      <c r="I9" s="1806" t="s">
        <v>2025</v>
      </c>
      <c r="J9" s="2777"/>
      <c r="K9" s="2777"/>
      <c r="L9" s="2773"/>
      <c r="M9" s="1540"/>
      <c r="N9" s="1540"/>
      <c r="O9" s="1540"/>
      <c r="P9" s="1540"/>
      <c r="Q9" s="1540"/>
      <c r="R9" s="1540"/>
      <c r="S9" s="162"/>
      <c r="T9" s="162"/>
      <c r="U9" s="162"/>
      <c r="V9" s="162"/>
      <c r="IW9" s="1525">
        <v>28</v>
      </c>
    </row>
    <row r="10" spans="1:257" s="2398" customFormat="1" ht="1.1499999999999999" customHeight="1">
      <c r="A10" s="2420"/>
      <c r="B10" s="1282">
        <v>1</v>
      </c>
      <c r="C10" s="1282"/>
      <c r="D10" s="730"/>
      <c r="E10" s="725">
        <v>0</v>
      </c>
      <c r="F10" s="1803" t="str">
        <f>IF(ROIV_INFO_NAME="","",ROIV_INFO_NAME)</f>
        <v>ООО "Пятигорсктеплосервис"</v>
      </c>
      <c r="G10" s="1648" t="s">
        <v>22</v>
      </c>
      <c r="H10" s="1815"/>
      <c r="I10" s="1815"/>
      <c r="J10" s="455"/>
      <c r="K10" s="455"/>
      <c r="L10" s="27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1" t="e">
        <f ca="1">MERGEVALUE(F10)</f>
        <v>#NAME?</v>
      </c>
      <c r="N10" s="1552"/>
      <c r="O10" s="1552"/>
      <c r="P10" s="1540" t="str">
        <f t="array" ref="P10">IF(ISERROR(MATCH(MID(Q10,1,250),MID(note_ter,1,250),0)),"n","y")</f>
        <v>n</v>
      </c>
      <c r="Q10" s="1552"/>
      <c r="R10" s="154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2"/>
      <c r="T10" s="1282"/>
      <c r="U10" s="356"/>
      <c r="V10" s="1282"/>
      <c r="W10" s="1282"/>
      <c r="X10" s="128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398" customFormat="1" ht="15.75" customHeight="1">
      <c r="A11" s="2420"/>
      <c r="B11" s="1282"/>
      <c r="C11" s="348"/>
      <c r="D11" s="731"/>
      <c r="E11" s="357"/>
      <c r="F11" s="587" t="s">
        <v>2026</v>
      </c>
      <c r="G11" s="124"/>
      <c r="H11" s="124"/>
      <c r="I11" s="124"/>
      <c r="J11" s="124"/>
      <c r="K11" s="360"/>
      <c r="L11" s="2775"/>
      <c r="M11" s="1452"/>
      <c r="N11" s="1552"/>
      <c r="O11" s="1552"/>
      <c r="P11" s="1552"/>
      <c r="Q11" s="1540"/>
      <c r="R11" s="1552"/>
      <c r="S11" s="1282"/>
      <c r="T11" s="1282"/>
      <c r="U11" s="356"/>
      <c r="V11" s="1282"/>
      <c r="W11" s="1282"/>
      <c r="X11" s="128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331" customFormat="1" ht="21.95" customHeight="1">
      <c r="A12" s="1547"/>
      <c r="B12" s="1282"/>
      <c r="C12" s="1547"/>
      <c r="D12" s="1549"/>
      <c r="E12" s="117"/>
      <c r="F12" s="117"/>
      <c r="G12" s="117"/>
      <c r="H12" s="117"/>
      <c r="I12" s="117"/>
      <c r="J12" s="117"/>
      <c r="K12" s="117"/>
      <c r="L12" s="117"/>
      <c r="M12" s="1540"/>
      <c r="N12" s="1540"/>
      <c r="O12" s="1540"/>
      <c r="P12" s="1540"/>
      <c r="Q12" s="1540"/>
      <c r="R12" s="1540"/>
      <c r="S12" s="162"/>
      <c r="T12" s="162"/>
      <c r="U12" s="162"/>
      <c r="V12" s="162"/>
      <c r="IW12" s="1525">
        <v>21</v>
      </c>
    </row>
    <row r="13" spans="1:257" s="2331" customFormat="1" ht="14.65" customHeight="1">
      <c r="A13" s="1547"/>
      <c r="B13" s="1282"/>
      <c r="C13" s="1547"/>
      <c r="D13" s="1549"/>
      <c r="E13" s="1547"/>
      <c r="F13" s="1547"/>
      <c r="G13" s="1547"/>
      <c r="H13" s="1547"/>
      <c r="I13" s="1547"/>
      <c r="J13" s="1547"/>
      <c r="K13" s="1547"/>
      <c r="L13" s="1547"/>
      <c r="M13" s="1540"/>
      <c r="N13" s="1540"/>
      <c r="O13" s="1540"/>
      <c r="P13" s="1540"/>
      <c r="Q13" s="1540"/>
      <c r="R13" s="1540"/>
      <c r="S13" s="162"/>
      <c r="T13" s="162"/>
      <c r="U13" s="162"/>
      <c r="V13" s="162"/>
      <c r="IW13" s="1525">
        <v>14</v>
      </c>
    </row>
    <row r="14" spans="1:257" s="2331" customFormat="1" ht="1.1499999999999999" customHeight="1">
      <c r="A14" s="1547"/>
      <c r="B14" s="1282"/>
      <c r="C14" s="1547"/>
      <c r="D14" s="1549"/>
      <c r="E14" s="1547"/>
      <c r="F14" s="1547"/>
      <c r="G14" s="1547"/>
      <c r="H14" s="1547"/>
      <c r="I14" s="1547"/>
      <c r="J14" s="1547"/>
      <c r="K14" s="1547"/>
      <c r="L14" s="1547"/>
      <c r="M14" s="1540"/>
      <c r="N14" s="1540"/>
      <c r="O14" s="1540"/>
      <c r="P14" s="1540"/>
      <c r="Q14" s="1540"/>
      <c r="R14" s="1540"/>
      <c r="S14" s="162"/>
      <c r="T14" s="162"/>
      <c r="U14" s="162"/>
      <c r="V14" s="162"/>
      <c r="IW14" s="1525">
        <v>1</v>
      </c>
    </row>
    <row r="15" spans="1:257" ht="22.5" hidden="1" customHeight="1">
      <c r="A15" s="1547" t="s">
        <v>82</v>
      </c>
      <c r="B15" s="1282">
        <v>0</v>
      </c>
      <c r="C15" s="1547">
        <v>0</v>
      </c>
      <c r="D15" s="1549">
        <v>3</v>
      </c>
      <c r="E15" s="1547">
        <v>6</v>
      </c>
      <c r="F15" s="1547">
        <v>27</v>
      </c>
      <c r="G15" s="1547">
        <v>16</v>
      </c>
      <c r="H15" s="1547">
        <v>12</v>
      </c>
      <c r="I15" s="1547">
        <v>32</v>
      </c>
      <c r="J15" s="1547">
        <v>41</v>
      </c>
      <c r="K15" s="1547">
        <v>41</v>
      </c>
      <c r="L15" s="1547">
        <v>89</v>
      </c>
      <c r="M15" s="1540">
        <v>3</v>
      </c>
      <c r="N15" s="1540">
        <v>8</v>
      </c>
      <c r="O15" s="1540">
        <v>8</v>
      </c>
      <c r="P15" s="1540">
        <v>8</v>
      </c>
      <c r="Q15" s="1540">
        <v>25</v>
      </c>
      <c r="R15" s="1540">
        <v>14</v>
      </c>
      <c r="S15" s="162">
        <v>8</v>
      </c>
      <c r="T15" s="162">
        <v>8</v>
      </c>
      <c r="U15" s="162">
        <v>8</v>
      </c>
      <c r="V15" s="162">
        <v>8</v>
      </c>
      <c r="W15" s="1547">
        <v>8</v>
      </c>
      <c r="X15" s="1547">
        <v>8</v>
      </c>
      <c r="Y15" s="1547">
        <v>8</v>
      </c>
      <c r="Z15" s="1547">
        <v>8</v>
      </c>
      <c r="AA15" s="1547">
        <v>8</v>
      </c>
      <c r="AB15" s="1547">
        <v>8</v>
      </c>
      <c r="AC15" s="1547">
        <v>8</v>
      </c>
      <c r="AD15" s="1547">
        <v>8</v>
      </c>
      <c r="AE15" s="1547">
        <v>8</v>
      </c>
      <c r="AF15" s="1547">
        <v>8</v>
      </c>
      <c r="AG15" s="1547">
        <v>8</v>
      </c>
      <c r="AH15" s="1547">
        <v>8</v>
      </c>
      <c r="AI15" s="1547">
        <v>8</v>
      </c>
      <c r="AJ15" s="1547">
        <v>8</v>
      </c>
      <c r="AK15" s="1547">
        <v>8</v>
      </c>
      <c r="AL15" s="1547">
        <v>8</v>
      </c>
      <c r="AM15" s="1547">
        <v>8</v>
      </c>
      <c r="AN15" s="1547">
        <v>8</v>
      </c>
      <c r="AO15" s="1547">
        <v>8</v>
      </c>
      <c r="AP15" s="1547">
        <v>8</v>
      </c>
      <c r="AQ15" s="1547">
        <v>8</v>
      </c>
      <c r="AR15" s="1547">
        <v>8</v>
      </c>
      <c r="AS15" s="1547">
        <v>8</v>
      </c>
      <c r="AT15" s="1547">
        <v>8</v>
      </c>
      <c r="AU15" s="1547">
        <v>8</v>
      </c>
      <c r="AV15" s="1547">
        <v>8</v>
      </c>
      <c r="AW15" s="1547">
        <v>8</v>
      </c>
      <c r="AX15" s="1547">
        <v>8</v>
      </c>
      <c r="AY15" s="1547">
        <v>8</v>
      </c>
      <c r="AZ15" s="1547">
        <v>8</v>
      </c>
      <c r="BA15" s="1547">
        <v>8</v>
      </c>
      <c r="BB15" s="1547">
        <v>8</v>
      </c>
      <c r="BC15" s="1547">
        <v>8</v>
      </c>
      <c r="BD15" s="1547">
        <v>8</v>
      </c>
      <c r="BE15" s="1547">
        <v>8</v>
      </c>
      <c r="BF15" s="1547">
        <v>8</v>
      </c>
      <c r="BG15" s="1547">
        <v>8</v>
      </c>
      <c r="BH15" s="1547">
        <v>8</v>
      </c>
      <c r="BI15" s="1547">
        <v>8</v>
      </c>
      <c r="BJ15" s="1547">
        <v>8</v>
      </c>
      <c r="BK15" s="1547">
        <v>8</v>
      </c>
      <c r="BL15" s="1547">
        <v>8</v>
      </c>
      <c r="BM15" s="1547">
        <v>8</v>
      </c>
      <c r="BN15" s="1547">
        <v>8</v>
      </c>
      <c r="BO15" s="1547">
        <v>8</v>
      </c>
      <c r="BP15" s="1547">
        <v>8</v>
      </c>
      <c r="BQ15" s="1547">
        <v>8</v>
      </c>
      <c r="BR15" s="1547">
        <v>8</v>
      </c>
      <c r="BS15" s="1547">
        <v>8</v>
      </c>
      <c r="BT15" s="1547">
        <v>8</v>
      </c>
      <c r="BU15" s="1547">
        <v>8</v>
      </c>
      <c r="BV15" s="1547">
        <v>8</v>
      </c>
      <c r="BW15" s="1547">
        <v>8</v>
      </c>
      <c r="BX15" s="1547">
        <v>8</v>
      </c>
      <c r="BY15" s="1547">
        <v>8</v>
      </c>
      <c r="BZ15" s="1547">
        <v>8</v>
      </c>
      <c r="CA15" s="1547">
        <v>8</v>
      </c>
      <c r="CB15" s="1547">
        <v>8</v>
      </c>
      <c r="CC15" s="1547">
        <v>8</v>
      </c>
      <c r="CD15" s="1547">
        <v>8</v>
      </c>
      <c r="CE15" s="1547">
        <v>8</v>
      </c>
      <c r="CF15" s="1547">
        <v>8</v>
      </c>
      <c r="CG15" s="1547">
        <v>8</v>
      </c>
      <c r="CH15" s="1547">
        <v>8</v>
      </c>
      <c r="CI15" s="1547">
        <v>8</v>
      </c>
      <c r="CJ15" s="1547">
        <v>8</v>
      </c>
      <c r="CK15" s="1547">
        <v>8</v>
      </c>
      <c r="CL15" s="1547">
        <v>8</v>
      </c>
      <c r="CM15" s="1547">
        <v>8</v>
      </c>
      <c r="CN15" s="1547">
        <v>8</v>
      </c>
      <c r="CO15" s="1547">
        <v>8</v>
      </c>
      <c r="CP15" s="1547">
        <v>8</v>
      </c>
      <c r="CQ15" s="1547">
        <v>8</v>
      </c>
      <c r="CR15" s="1547">
        <v>8</v>
      </c>
      <c r="CS15" s="1547">
        <v>8</v>
      </c>
      <c r="CT15" s="1547">
        <v>8</v>
      </c>
      <c r="CU15" s="1547">
        <v>8</v>
      </c>
      <c r="CV15" s="1547">
        <v>8</v>
      </c>
      <c r="CW15" s="1547">
        <v>8</v>
      </c>
      <c r="CX15" s="1547">
        <v>8</v>
      </c>
      <c r="CY15" s="1547">
        <v>8</v>
      </c>
      <c r="CZ15" s="1547">
        <v>8</v>
      </c>
      <c r="DA15" s="1547">
        <v>8</v>
      </c>
      <c r="DB15" s="1547">
        <v>8</v>
      </c>
      <c r="DC15" s="1547">
        <v>8</v>
      </c>
      <c r="DD15" s="1547">
        <v>8</v>
      </c>
      <c r="DE15" s="1547">
        <v>8</v>
      </c>
      <c r="DF15" s="1547">
        <v>8</v>
      </c>
      <c r="DG15" s="1547">
        <v>8</v>
      </c>
      <c r="DH15" s="1547">
        <v>8</v>
      </c>
      <c r="DI15" s="1547">
        <v>8</v>
      </c>
      <c r="DJ15" s="1547">
        <v>8</v>
      </c>
      <c r="DK15" s="1547">
        <v>8</v>
      </c>
      <c r="DL15" s="1547">
        <v>8</v>
      </c>
      <c r="DM15" s="1547">
        <v>8</v>
      </c>
      <c r="DN15" s="1547">
        <v>8</v>
      </c>
      <c r="DO15" s="1547">
        <v>8</v>
      </c>
      <c r="DP15" s="1547">
        <v>8</v>
      </c>
      <c r="DQ15" s="1547">
        <v>8</v>
      </c>
      <c r="DR15" s="1547">
        <v>8</v>
      </c>
      <c r="DS15" s="1547">
        <v>8</v>
      </c>
      <c r="DT15" s="1547">
        <v>8</v>
      </c>
      <c r="DU15" s="1547">
        <v>8</v>
      </c>
      <c r="DV15" s="1547">
        <v>8</v>
      </c>
      <c r="DW15" s="1547">
        <v>8</v>
      </c>
      <c r="DX15" s="1547">
        <v>8</v>
      </c>
      <c r="DY15" s="1547">
        <v>8</v>
      </c>
      <c r="DZ15" s="1547">
        <v>8</v>
      </c>
      <c r="EA15" s="1547">
        <v>8</v>
      </c>
      <c r="EB15" s="1547">
        <v>8</v>
      </c>
      <c r="EC15" s="1547">
        <v>8</v>
      </c>
      <c r="ED15" s="1547">
        <v>8</v>
      </c>
      <c r="EE15" s="1547">
        <v>8</v>
      </c>
      <c r="EF15" s="1547">
        <v>8</v>
      </c>
      <c r="EG15" s="1547">
        <v>8</v>
      </c>
      <c r="EH15" s="1547">
        <v>8</v>
      </c>
      <c r="EI15" s="1547">
        <v>8</v>
      </c>
      <c r="EJ15" s="1547">
        <v>8</v>
      </c>
      <c r="EK15" s="1547">
        <v>8</v>
      </c>
      <c r="EL15" s="1547">
        <v>8</v>
      </c>
      <c r="EM15" s="1547">
        <v>8</v>
      </c>
      <c r="EN15" s="1547">
        <v>8</v>
      </c>
      <c r="EO15" s="1547">
        <v>8</v>
      </c>
      <c r="EP15" s="1547">
        <v>8</v>
      </c>
      <c r="EQ15" s="1547">
        <v>8</v>
      </c>
      <c r="ER15" s="1547">
        <v>8</v>
      </c>
      <c r="ES15" s="1547">
        <v>8</v>
      </c>
      <c r="ET15" s="1547">
        <v>8</v>
      </c>
      <c r="EU15" s="1547">
        <v>8</v>
      </c>
      <c r="EV15" s="1547">
        <v>8</v>
      </c>
      <c r="EW15" s="1547">
        <v>8</v>
      </c>
      <c r="EX15" s="1547">
        <v>8</v>
      </c>
      <c r="EY15" s="1547">
        <v>8</v>
      </c>
      <c r="EZ15" s="1547">
        <v>8</v>
      </c>
      <c r="FA15" s="1547">
        <v>8</v>
      </c>
      <c r="FB15" s="1547">
        <v>8</v>
      </c>
      <c r="FC15" s="1547">
        <v>8</v>
      </c>
      <c r="FD15" s="1547">
        <v>8</v>
      </c>
      <c r="FE15" s="1547">
        <v>8</v>
      </c>
      <c r="FF15" s="1547">
        <v>8</v>
      </c>
      <c r="FG15" s="1547">
        <v>8</v>
      </c>
      <c r="FH15" s="1547">
        <v>8</v>
      </c>
      <c r="FI15" s="1547">
        <v>8</v>
      </c>
      <c r="FJ15" s="1547">
        <v>8</v>
      </c>
      <c r="FK15" s="1547">
        <v>8</v>
      </c>
      <c r="FL15" s="1547">
        <v>8</v>
      </c>
      <c r="FM15" s="1547">
        <v>8</v>
      </c>
      <c r="FN15" s="1547">
        <v>8</v>
      </c>
      <c r="FO15" s="1547">
        <v>8</v>
      </c>
      <c r="FP15" s="1547">
        <v>8</v>
      </c>
      <c r="FQ15" s="1547">
        <v>8</v>
      </c>
      <c r="FR15" s="1547">
        <v>8</v>
      </c>
      <c r="FS15" s="1547">
        <v>8</v>
      </c>
      <c r="FT15" s="1547">
        <v>8</v>
      </c>
      <c r="FU15" s="1547">
        <v>8</v>
      </c>
      <c r="FV15" s="1547">
        <v>8</v>
      </c>
      <c r="FW15" s="1547">
        <v>8</v>
      </c>
      <c r="FX15" s="1547">
        <v>8</v>
      </c>
      <c r="FY15" s="1547">
        <v>8</v>
      </c>
      <c r="FZ15" s="1547">
        <v>8</v>
      </c>
      <c r="GA15" s="1547">
        <v>8</v>
      </c>
      <c r="GB15" s="1547">
        <v>8</v>
      </c>
      <c r="GC15" s="1547">
        <v>8</v>
      </c>
      <c r="GD15" s="1547">
        <v>8</v>
      </c>
      <c r="GE15" s="1547">
        <v>8</v>
      </c>
      <c r="GF15" s="1547">
        <v>8</v>
      </c>
      <c r="GG15" s="1547">
        <v>8</v>
      </c>
      <c r="GH15" s="1547">
        <v>8</v>
      </c>
      <c r="GI15" s="1547">
        <v>8</v>
      </c>
      <c r="GJ15" s="1547">
        <v>8</v>
      </c>
      <c r="GK15" s="1547">
        <v>8</v>
      </c>
      <c r="GL15" s="1547">
        <v>8</v>
      </c>
      <c r="GM15" s="1547">
        <v>8</v>
      </c>
      <c r="GN15" s="1547">
        <v>8</v>
      </c>
      <c r="GO15" s="1547">
        <v>8</v>
      </c>
      <c r="GP15" s="1547">
        <v>8</v>
      </c>
      <c r="GQ15" s="1547">
        <v>8</v>
      </c>
      <c r="GR15" s="1547">
        <v>8</v>
      </c>
      <c r="GS15" s="1547">
        <v>8</v>
      </c>
      <c r="GT15" s="1547">
        <v>8</v>
      </c>
      <c r="GU15" s="1547">
        <v>8</v>
      </c>
      <c r="GV15" s="1547">
        <v>8</v>
      </c>
      <c r="GW15" s="1547">
        <v>8</v>
      </c>
      <c r="GX15" s="1547">
        <v>8</v>
      </c>
      <c r="GY15" s="1547">
        <v>8</v>
      </c>
      <c r="GZ15" s="1547">
        <v>8</v>
      </c>
      <c r="HA15" s="1547">
        <v>8</v>
      </c>
      <c r="HB15" s="1547">
        <v>8</v>
      </c>
      <c r="HC15" s="1547">
        <v>8</v>
      </c>
      <c r="HD15" s="1547">
        <v>8</v>
      </c>
      <c r="HE15" s="1547">
        <v>8</v>
      </c>
      <c r="HF15" s="1547">
        <v>8</v>
      </c>
      <c r="HG15" s="1547">
        <v>8</v>
      </c>
      <c r="HH15" s="1547">
        <v>8</v>
      </c>
      <c r="HI15" s="1547">
        <v>8</v>
      </c>
      <c r="HJ15" s="1547">
        <v>8</v>
      </c>
      <c r="HK15" s="1547">
        <v>8</v>
      </c>
      <c r="HL15" s="1547">
        <v>8</v>
      </c>
      <c r="HM15" s="1547">
        <v>8</v>
      </c>
      <c r="HN15" s="1547">
        <v>8</v>
      </c>
      <c r="HO15" s="1547">
        <v>8</v>
      </c>
      <c r="HP15" s="1547">
        <v>8</v>
      </c>
      <c r="HQ15" s="1547">
        <v>8</v>
      </c>
      <c r="HR15" s="1547">
        <v>8</v>
      </c>
      <c r="HS15" s="1547">
        <v>8</v>
      </c>
      <c r="HT15" s="1547">
        <v>8</v>
      </c>
      <c r="HU15" s="1547">
        <v>8</v>
      </c>
      <c r="HV15" s="1547">
        <v>8</v>
      </c>
      <c r="HW15" s="1547">
        <v>8</v>
      </c>
      <c r="HX15" s="1547">
        <v>8</v>
      </c>
      <c r="HY15" s="1547">
        <v>8</v>
      </c>
      <c r="HZ15" s="1547">
        <v>8</v>
      </c>
      <c r="IA15" s="1547">
        <v>8</v>
      </c>
      <c r="IB15" s="1547">
        <v>8</v>
      </c>
      <c r="IC15" s="1547">
        <v>8</v>
      </c>
      <c r="ID15" s="1547">
        <v>8</v>
      </c>
      <c r="IE15" s="1547">
        <v>8</v>
      </c>
      <c r="IF15" s="1547">
        <v>8</v>
      </c>
      <c r="IG15" s="1547">
        <v>8</v>
      </c>
      <c r="IH15" s="1547">
        <v>8</v>
      </c>
      <c r="II15" s="1547">
        <v>8</v>
      </c>
      <c r="IJ15" s="1547">
        <v>8</v>
      </c>
      <c r="IK15" s="1547">
        <v>8</v>
      </c>
      <c r="IL15" s="1547">
        <v>8</v>
      </c>
      <c r="IM15" s="1547">
        <v>8</v>
      </c>
      <c r="IN15" s="1547">
        <v>8</v>
      </c>
      <c r="IO15" s="1547">
        <v>8</v>
      </c>
      <c r="IP15" s="1547">
        <v>8</v>
      </c>
      <c r="IQ15" s="1547">
        <v>8</v>
      </c>
      <c r="IR15" s="1547">
        <v>8</v>
      </c>
      <c r="IS15" s="1547">
        <v>8</v>
      </c>
      <c r="IT15" s="1547">
        <v>8</v>
      </c>
      <c r="IU15" s="1547">
        <v>8</v>
      </c>
      <c r="IV15" s="1547">
        <v>8</v>
      </c>
      <c r="IW15" s="154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360" hidden="1"/>
    <col min="2" max="2" width="9.140625" style="2357" hidden="1"/>
    <col min="3" max="3" width="3.7109375" style="2360" hidden="1" customWidth="1"/>
    <col min="4" max="4" width="3" style="2378" customWidth="1"/>
    <col min="5" max="5" width="6" style="2360" customWidth="1"/>
    <col min="6" max="6" width="27" style="2360" customWidth="1"/>
    <col min="7" max="7" width="29" style="2360" customWidth="1"/>
    <col min="8" max="8" width="25" style="2360" customWidth="1"/>
    <col min="9" max="9" width="5" style="2360" customWidth="1"/>
    <col min="10" max="10" width="6" style="2360" customWidth="1"/>
    <col min="11" max="11" width="41" style="2360" customWidth="1"/>
    <col min="12" max="12" width="42" style="2360" customWidth="1"/>
    <col min="13" max="13" width="41" style="2360" customWidth="1"/>
    <col min="14" max="14" width="89" style="2360" customWidth="1"/>
    <col min="15" max="15" width="3" style="2358" customWidth="1"/>
    <col min="16" max="16" width="8" style="2358" customWidth="1"/>
    <col min="17" max="17" width="9.140625" style="2360" hidden="1"/>
  </cols>
  <sheetData>
    <row r="1" spans="1:17" ht="22.5" hidden="1" customHeight="1">
      <c r="Q1" s="1071" t="s">
        <v>14</v>
      </c>
    </row>
    <row r="2" spans="1:17" s="2398" customFormat="1" ht="22.5" hidden="1" customHeight="1">
      <c r="A2" s="432"/>
      <c r="B2" s="1076">
        <v>1</v>
      </c>
      <c r="C2" s="1076"/>
      <c r="D2" s="1837" t="s">
        <v>568</v>
      </c>
      <c r="E2" s="2435">
        <v>1</v>
      </c>
      <c r="F2" s="2602" t="str">
        <f>IF(region_name="","",region_name)</f>
        <v>Ставропольский край</v>
      </c>
      <c r="G2" s="2789"/>
      <c r="H2" s="2790"/>
      <c r="I2" s="410"/>
      <c r="J2" s="1822">
        <v>1</v>
      </c>
      <c r="K2" s="1824"/>
      <c r="L2" s="1824"/>
      <c r="M2" s="1824"/>
      <c r="N2" s="428"/>
      <c r="O2" s="1451"/>
      <c r="P2" s="447"/>
      <c r="Q2" s="359">
        <v>0</v>
      </c>
    </row>
    <row r="3" spans="1:17" s="2398" customFormat="1" ht="22.5" hidden="1" customHeight="1">
      <c r="A3" s="761"/>
      <c r="B3" s="1076"/>
      <c r="C3" s="1076"/>
      <c r="D3" s="731"/>
      <c r="E3" s="2435"/>
      <c r="F3" s="2602"/>
      <c r="G3" s="2789"/>
      <c r="H3" s="2718"/>
      <c r="I3" s="357"/>
      <c r="J3" s="1416"/>
      <c r="K3" s="1416" t="s">
        <v>2030</v>
      </c>
      <c r="L3" s="1459"/>
      <c r="M3" s="1832"/>
      <c r="N3" s="1825"/>
      <c r="O3" s="1451"/>
      <c r="P3" s="447"/>
      <c r="Q3" s="359">
        <v>0</v>
      </c>
    </row>
    <row r="4" spans="1:17" s="2344" customFormat="1" ht="5.25" hidden="1" customHeight="1">
      <c r="A4" s="432"/>
      <c r="D4" s="430"/>
      <c r="F4" s="184" t="s">
        <v>83</v>
      </c>
      <c r="G4" s="430" t="s">
        <v>84</v>
      </c>
      <c r="H4" s="430"/>
      <c r="I4" s="1835"/>
      <c r="J4" s="1460"/>
      <c r="K4" s="1823"/>
      <c r="L4" s="1823"/>
      <c r="M4" s="1823"/>
      <c r="N4" s="1819"/>
      <c r="O4" s="184" t="s">
        <v>83</v>
      </c>
      <c r="P4" s="184"/>
      <c r="Q4" s="447">
        <v>0</v>
      </c>
    </row>
    <row r="5" spans="1:17" s="2398" customFormat="1" ht="22.5" hidden="1" customHeight="1">
      <c r="A5" s="1557"/>
      <c r="B5" s="1282">
        <v>1</v>
      </c>
      <c r="C5" s="1282"/>
      <c r="D5" s="731"/>
      <c r="E5" s="1825"/>
      <c r="F5" s="1825"/>
      <c r="G5" s="1825"/>
      <c r="H5" s="1836"/>
      <c r="I5" s="1838" t="s">
        <v>568</v>
      </c>
      <c r="J5" s="1834">
        <v>1</v>
      </c>
      <c r="K5" s="1824"/>
      <c r="L5" s="1824"/>
      <c r="M5" s="1824"/>
      <c r="N5" s="428"/>
      <c r="O5" s="1451"/>
      <c r="P5" s="1552"/>
      <c r="Q5" s="560">
        <v>0</v>
      </c>
    </row>
    <row r="6" spans="1:17" s="2331" customFormat="1" ht="14.65" customHeight="1">
      <c r="A6" s="1071"/>
      <c r="B6" s="1076"/>
      <c r="C6" s="1071"/>
      <c r="D6" s="1411"/>
      <c r="E6" s="445"/>
      <c r="F6" s="445"/>
      <c r="G6" s="445"/>
      <c r="H6" s="445"/>
      <c r="I6" s="445"/>
      <c r="J6" s="445"/>
      <c r="K6" s="445"/>
      <c r="L6" s="445"/>
      <c r="M6" s="445"/>
      <c r="N6" s="1551"/>
      <c r="O6" s="184"/>
      <c r="P6" s="436"/>
      <c r="Q6" s="443">
        <v>14</v>
      </c>
    </row>
    <row r="7" spans="1:17" s="2331" customFormat="1" ht="27.4" customHeight="1">
      <c r="A7" s="1071"/>
      <c r="B7" s="1076"/>
      <c r="C7" s="1071"/>
      <c r="D7" s="1411"/>
      <c r="E7" s="278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83"/>
      <c r="G7" s="2783"/>
      <c r="H7" s="2783"/>
      <c r="I7" s="2783"/>
      <c r="J7" s="2783"/>
      <c r="K7" s="2783"/>
      <c r="L7" s="2783"/>
      <c r="M7" s="2783"/>
      <c r="N7" s="1168"/>
      <c r="O7" s="184"/>
      <c r="P7" s="436"/>
      <c r="Q7" s="443">
        <v>26</v>
      </c>
    </row>
    <row r="8" spans="1:17" s="2331" customFormat="1" ht="14.65" customHeight="1">
      <c r="A8" s="1071"/>
      <c r="B8" s="1076"/>
      <c r="C8" s="1071"/>
      <c r="D8" s="1411"/>
      <c r="E8" s="445"/>
      <c r="F8" s="104"/>
      <c r="G8" s="104"/>
      <c r="H8" s="104"/>
      <c r="I8" s="104"/>
      <c r="J8" s="104"/>
      <c r="K8" s="104"/>
      <c r="L8" s="104"/>
      <c r="M8" s="104"/>
      <c r="N8" s="552"/>
      <c r="O8" s="436"/>
      <c r="P8" s="436"/>
      <c r="Q8" s="443">
        <v>14</v>
      </c>
    </row>
    <row r="9" spans="1:17" s="2369" customFormat="1" ht="14.25" hidden="1" customHeight="1">
      <c r="A9" s="1384"/>
      <c r="B9" s="1394"/>
      <c r="C9" s="1384"/>
      <c r="D9" s="1411"/>
      <c r="E9" s="1826"/>
      <c r="F9" s="1826"/>
      <c r="G9" s="1826"/>
      <c r="H9" s="1826"/>
      <c r="I9" s="2786"/>
      <c r="J9" s="2786"/>
      <c r="K9" s="2786"/>
      <c r="L9" s="1826"/>
      <c r="M9" s="1827"/>
      <c r="O9" s="1461"/>
      <c r="P9" s="1461"/>
      <c r="Q9" s="1462">
        <v>0</v>
      </c>
    </row>
    <row r="10" spans="1:17" s="2331" customFormat="1" ht="14.65" customHeight="1">
      <c r="A10" s="1071"/>
      <c r="B10" s="1076"/>
      <c r="C10" s="1071"/>
      <c r="D10" s="1411"/>
      <c r="E10" s="2435" t="s">
        <v>299</v>
      </c>
      <c r="F10" s="2435"/>
      <c r="G10" s="2435"/>
      <c r="H10" s="2435"/>
      <c r="I10" s="2435"/>
      <c r="J10" s="2435"/>
      <c r="K10" s="2435"/>
      <c r="L10" s="2435"/>
      <c r="M10" s="2417"/>
      <c r="N10" s="2776" t="s">
        <v>300</v>
      </c>
      <c r="O10" s="436"/>
      <c r="P10" s="436"/>
      <c r="Q10" s="443">
        <v>14</v>
      </c>
    </row>
    <row r="11" spans="1:17" s="2331" customFormat="1" ht="44.25" customHeight="1">
      <c r="A11" s="1547"/>
      <c r="B11" s="1282"/>
      <c r="C11" s="1547"/>
      <c r="D11" s="1431"/>
      <c r="E11" s="2785" t="s">
        <v>88</v>
      </c>
      <c r="F11" s="2785" t="s">
        <v>303</v>
      </c>
      <c r="G11" s="2785" t="s">
        <v>2031</v>
      </c>
      <c r="H11" s="2785"/>
      <c r="I11" s="2785" t="s">
        <v>2032</v>
      </c>
      <c r="J11" s="2785"/>
      <c r="K11" s="2785"/>
      <c r="L11" s="2785" t="s">
        <v>2033</v>
      </c>
      <c r="M11" s="2778" t="s">
        <v>2034</v>
      </c>
      <c r="N11" s="2784"/>
      <c r="O11" s="1540"/>
      <c r="P11" s="1540"/>
      <c r="Q11" s="1525">
        <v>42</v>
      </c>
    </row>
    <row r="12" spans="1:17" s="2331" customFormat="1" ht="29.25" customHeight="1">
      <c r="A12" s="1071"/>
      <c r="B12" s="1076"/>
      <c r="C12" s="1071"/>
      <c r="D12" s="1411"/>
      <c r="E12" s="2776"/>
      <c r="F12" s="2785"/>
      <c r="G12" s="1821" t="s">
        <v>2035</v>
      </c>
      <c r="H12" s="1821" t="s">
        <v>307</v>
      </c>
      <c r="I12" s="2785"/>
      <c r="J12" s="2785"/>
      <c r="K12" s="2785"/>
      <c r="L12" s="2785"/>
      <c r="M12" s="2778"/>
      <c r="N12" s="2777"/>
      <c r="O12" s="436"/>
      <c r="P12" s="436"/>
      <c r="Q12" s="443">
        <v>28</v>
      </c>
    </row>
    <row r="13" spans="1:17" s="2398" customFormat="1" ht="23.25" customHeight="1">
      <c r="A13" s="2420">
        <v>26379339</v>
      </c>
      <c r="B13" s="1076">
        <v>1</v>
      </c>
      <c r="C13" s="1076"/>
      <c r="D13" s="731"/>
      <c r="E13" s="2435">
        <v>1</v>
      </c>
      <c r="F13" s="2791" t="str">
        <f>IF(region_name="","",region_name)</f>
        <v>Ставропольский край</v>
      </c>
      <c r="G13" s="2792"/>
      <c r="H13" s="2787"/>
      <c r="I13" s="410"/>
      <c r="J13" s="1817">
        <v>1</v>
      </c>
      <c r="K13" s="1830"/>
      <c r="L13" s="1831"/>
      <c r="M13" s="1831"/>
      <c r="N13" s="2781" t="s">
        <v>2036</v>
      </c>
      <c r="O13" s="1451"/>
      <c r="P13" s="447"/>
      <c r="Q13" s="359">
        <v>22</v>
      </c>
    </row>
    <row r="14" spans="1:17" s="2398" customFormat="1" ht="23.25" customHeight="1">
      <c r="A14" s="2420"/>
      <c r="B14" s="1076"/>
      <c r="C14" s="1076"/>
      <c r="D14" s="731"/>
      <c r="E14" s="2435"/>
      <c r="F14" s="2791"/>
      <c r="G14" s="2792"/>
      <c r="H14" s="2788"/>
      <c r="I14" s="357"/>
      <c r="J14" s="1416"/>
      <c r="K14" s="1416" t="s">
        <v>2030</v>
      </c>
      <c r="L14" s="1459"/>
      <c r="M14" s="1459"/>
      <c r="N14" s="2782"/>
      <c r="O14" s="1451"/>
      <c r="P14" s="447"/>
      <c r="Q14" s="359">
        <v>22</v>
      </c>
    </row>
    <row r="15" spans="1:17" s="2398" customFormat="1" ht="23.25" customHeight="1">
      <c r="A15" s="2420"/>
      <c r="B15" s="1076"/>
      <c r="C15" s="348"/>
      <c r="D15" s="731"/>
      <c r="E15" s="357"/>
      <c r="F15" s="1416" t="s">
        <v>2022</v>
      </c>
      <c r="G15" s="1458"/>
      <c r="H15" s="1458"/>
      <c r="I15" s="124"/>
      <c r="J15" s="124"/>
      <c r="K15" s="124"/>
      <c r="L15" s="124"/>
      <c r="M15" s="124"/>
      <c r="N15" s="2782"/>
      <c r="O15" s="1452"/>
      <c r="P15" s="447"/>
      <c r="Q15" s="359">
        <v>22</v>
      </c>
    </row>
    <row r="16" spans="1:17" s="2331" customFormat="1" ht="21.95" customHeight="1">
      <c r="A16" s="1071"/>
      <c r="B16" s="1076"/>
      <c r="C16" s="1071"/>
      <c r="D16" s="387"/>
      <c r="E16" s="117"/>
      <c r="F16" s="117"/>
      <c r="G16" s="117"/>
      <c r="H16" s="117"/>
      <c r="I16" s="117"/>
      <c r="J16" s="117"/>
      <c r="K16" s="117"/>
      <c r="L16" s="117"/>
      <c r="M16" s="445"/>
      <c r="N16" s="1551"/>
      <c r="O16" s="436"/>
      <c r="P16" s="436"/>
      <c r="Q16" s="443">
        <v>21</v>
      </c>
    </row>
    <row r="17" spans="1:17" s="2331" customFormat="1" ht="14.65" customHeight="1">
      <c r="A17" s="1071"/>
      <c r="B17" s="1076"/>
      <c r="C17" s="1071"/>
      <c r="D17" s="387"/>
      <c r="E17" s="1071"/>
      <c r="F17" s="1071"/>
      <c r="G17" s="1071"/>
      <c r="H17" s="1071"/>
      <c r="I17" s="1071"/>
      <c r="J17" s="1071"/>
      <c r="K17" s="1071"/>
      <c r="L17" s="1071"/>
      <c r="M17" s="1071"/>
      <c r="N17" s="1547"/>
      <c r="O17" s="436"/>
      <c r="P17" s="436"/>
      <c r="Q17" s="443">
        <v>14</v>
      </c>
    </row>
    <row r="18" spans="1:17" s="2331" customFormat="1" ht="1.1499999999999999" customHeight="1">
      <c r="A18" s="1071"/>
      <c r="B18" s="1076"/>
      <c r="C18" s="1071"/>
      <c r="D18" s="387"/>
      <c r="E18" s="1071"/>
      <c r="F18" s="1071"/>
      <c r="G18" s="1071"/>
      <c r="H18" s="1071"/>
      <c r="I18" s="1071"/>
      <c r="J18" s="1071"/>
      <c r="K18" s="1071"/>
      <c r="L18" s="1071"/>
      <c r="M18" s="1071"/>
      <c r="N18" s="1547"/>
      <c r="O18" s="436"/>
      <c r="P18" s="436"/>
      <c r="Q18" s="443">
        <v>1</v>
      </c>
    </row>
    <row r="19" spans="1:17" ht="22.5" hidden="1" customHeight="1">
      <c r="A19" s="1071" t="s">
        <v>82</v>
      </c>
      <c r="B19" s="1076">
        <v>0</v>
      </c>
      <c r="C19" s="1071">
        <v>0</v>
      </c>
      <c r="D19" s="387">
        <v>3</v>
      </c>
      <c r="E19" s="1071">
        <v>6</v>
      </c>
      <c r="F19" s="1071">
        <v>27</v>
      </c>
      <c r="G19" s="1071">
        <v>29</v>
      </c>
      <c r="H19" s="1071">
        <v>25</v>
      </c>
      <c r="I19" s="1071">
        <v>5</v>
      </c>
      <c r="J19" s="1071">
        <v>6</v>
      </c>
      <c r="K19" s="1071">
        <v>41</v>
      </c>
      <c r="L19" s="1071">
        <v>42</v>
      </c>
      <c r="M19" s="1071">
        <v>41</v>
      </c>
      <c r="N19" s="1547">
        <v>89</v>
      </c>
      <c r="O19" s="436">
        <v>3</v>
      </c>
      <c r="P19" s="436">
        <v>8</v>
      </c>
      <c r="Q19" s="107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390" hidden="1"/>
    <col min="2" max="2" width="9.140625" style="2376" hidden="1"/>
    <col min="3" max="3" width="3" style="2371" customWidth="1"/>
    <col min="4" max="4" width="6" style="2376" customWidth="1"/>
    <col min="5" max="5" width="22" style="2376" customWidth="1"/>
    <col min="6" max="6" width="15" style="2376" customWidth="1"/>
    <col min="7" max="7" width="14" style="2376" customWidth="1"/>
    <col min="8" max="8" width="47" style="2376" customWidth="1"/>
    <col min="9" max="9" width="115" style="2376" customWidth="1"/>
    <col min="10" max="10" width="3" style="2376" customWidth="1"/>
    <col min="11" max="12" width="8" style="2376" customWidth="1"/>
    <col min="13" max="13" width="9.140625" style="237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360" customFormat="1" ht="31.5" customHeight="1">
      <c r="A5" s="55"/>
      <c r="C5" s="30"/>
      <c r="D5" s="2421" t="s">
        <v>2037</v>
      </c>
      <c r="E5" s="2421"/>
      <c r="F5" s="2421"/>
      <c r="G5" s="2421"/>
      <c r="H5" s="2421"/>
      <c r="I5" s="202"/>
      <c r="M5" s="23">
        <v>30</v>
      </c>
    </row>
    <row r="6" spans="1:13" ht="3" hidden="1" customHeight="1">
      <c r="D6" s="62"/>
      <c r="E6" s="62"/>
      <c r="F6" s="62"/>
      <c r="G6" s="62"/>
      <c r="H6" s="62"/>
      <c r="I6" s="62"/>
      <c r="M6" s="61">
        <v>0</v>
      </c>
    </row>
    <row r="7" spans="1:13" s="2390" customFormat="1" ht="14.65" customHeight="1">
      <c r="B7" s="59"/>
      <c r="C7" s="60"/>
      <c r="D7" s="63"/>
      <c r="E7" s="63"/>
      <c r="F7" s="63"/>
      <c r="G7" s="63"/>
      <c r="H7" s="688"/>
      <c r="I7" s="63"/>
      <c r="J7" s="64"/>
      <c r="M7" s="58">
        <v>14</v>
      </c>
    </row>
    <row r="8" spans="1:13" ht="14.65" customHeight="1">
      <c r="D8" s="2524" t="s">
        <v>299</v>
      </c>
      <c r="E8" s="2524"/>
      <c r="F8" s="2524"/>
      <c r="G8" s="2524"/>
      <c r="H8" s="2524"/>
      <c r="I8" s="2524" t="s">
        <v>300</v>
      </c>
      <c r="M8" s="61">
        <v>14</v>
      </c>
    </row>
    <row r="9" spans="1:13" ht="29.25" customHeight="1">
      <c r="D9" s="2524" t="s">
        <v>88</v>
      </c>
      <c r="E9" s="2524" t="s">
        <v>2038</v>
      </c>
      <c r="F9" s="2524"/>
      <c r="G9" s="2524"/>
      <c r="H9" s="2524"/>
      <c r="I9" s="2524"/>
      <c r="M9" s="61">
        <v>28</v>
      </c>
    </row>
    <row r="10" spans="1:13" ht="24" customHeight="1">
      <c r="D10" s="2524"/>
      <c r="E10" s="67" t="s">
        <v>2039</v>
      </c>
      <c r="F10" s="67" t="s">
        <v>2040</v>
      </c>
      <c r="G10" s="67" t="s">
        <v>2041</v>
      </c>
      <c r="H10" s="67" t="s">
        <v>389</v>
      </c>
      <c r="I10" s="2524"/>
      <c r="M10" s="61">
        <v>23</v>
      </c>
    </row>
    <row r="11" spans="1:13" ht="12" hidden="1" customHeight="1">
      <c r="D11" s="27" t="s">
        <v>109</v>
      </c>
      <c r="E11" s="27" t="s">
        <v>91</v>
      </c>
      <c r="F11" s="27" t="s">
        <v>111</v>
      </c>
      <c r="G11" s="27" t="s">
        <v>92</v>
      </c>
      <c r="H11" s="27" t="s">
        <v>93</v>
      </c>
      <c r="I11" s="27" t="s">
        <v>112</v>
      </c>
      <c r="M11" s="61">
        <v>0</v>
      </c>
    </row>
    <row r="12" spans="1:13" s="2376" customFormat="1" ht="26.25" customHeight="1">
      <c r="A12" s="83" t="s">
        <v>90</v>
      </c>
      <c r="B12" s="65" t="s">
        <v>22</v>
      </c>
      <c r="C12" s="66"/>
      <c r="D12" s="68" t="s">
        <v>109</v>
      </c>
      <c r="E12" s="317"/>
      <c r="F12" s="317"/>
      <c r="G12" s="1649" t="s">
        <v>22</v>
      </c>
      <c r="H12" s="318"/>
      <c r="I12" s="2479" t="s">
        <v>2042</v>
      </c>
      <c r="K12" s="209"/>
      <c r="L12" s="210"/>
      <c r="M12" s="57">
        <v>25</v>
      </c>
    </row>
    <row r="13" spans="1:13" ht="15.75" customHeight="1">
      <c r="A13" s="61"/>
      <c r="B13" s="61"/>
      <c r="C13" s="61"/>
      <c r="D13" s="49"/>
      <c r="E13" s="70" t="s">
        <v>467</v>
      </c>
      <c r="F13" s="69"/>
      <c r="G13" s="69"/>
      <c r="H13" s="151"/>
      <c r="I13" s="2481"/>
      <c r="M13" s="61">
        <v>15</v>
      </c>
    </row>
    <row r="14" spans="1:13" ht="3" customHeight="1">
      <c r="A14" s="61"/>
      <c r="B14" s="61"/>
      <c r="C14" s="61"/>
      <c r="M14" s="61">
        <v>3</v>
      </c>
    </row>
    <row r="15" spans="1:13" ht="29.25" customHeight="1">
      <c r="E15" s="2793" t="s">
        <v>2043</v>
      </c>
      <c r="F15" s="2793"/>
      <c r="G15" s="2793"/>
      <c r="H15" s="279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374" hidden="1"/>
    <col min="3" max="3" width="3" style="2373" customWidth="1"/>
    <col min="4" max="4" width="6" style="2374" customWidth="1"/>
    <col min="5" max="5" width="94" style="2374" customWidth="1"/>
    <col min="6" max="9" width="8" style="2374" customWidth="1"/>
    <col min="10" max="10" width="9.140625" style="237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94" t="s">
        <v>2044</v>
      </c>
      <c r="E7" s="2795"/>
      <c r="F7" s="204"/>
      <c r="J7" s="9">
        <v>22</v>
      </c>
    </row>
    <row r="8" spans="1:10" ht="3" customHeight="1">
      <c r="C8" s="32"/>
      <c r="D8" s="10"/>
      <c r="E8" s="10"/>
      <c r="J8" s="9">
        <v>3</v>
      </c>
    </row>
    <row r="9" spans="1:10" ht="16.899999999999999" customHeight="1">
      <c r="C9" s="32"/>
      <c r="D9" s="45" t="s">
        <v>88</v>
      </c>
      <c r="E9" s="197" t="s">
        <v>2045</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2046</v>
      </c>
      <c r="J13" s="9">
        <v>12</v>
      </c>
    </row>
    <row r="14" spans="1:10" ht="3" customHeight="1">
      <c r="J14" s="9">
        <v>3</v>
      </c>
    </row>
    <row r="15" spans="1:10" ht="23.25" customHeight="1">
      <c r="C15" s="76"/>
      <c r="D15" s="2793" t="s">
        <v>2047</v>
      </c>
      <c r="E15" s="279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374" hidden="1"/>
    <col min="3" max="3" width="3" style="2373" customWidth="1"/>
    <col min="4" max="4" width="6" style="2374" customWidth="1"/>
    <col min="5" max="5" width="94" style="2374" customWidth="1"/>
    <col min="6" max="12" width="8" style="2374" customWidth="1"/>
    <col min="13" max="13" width="9.140625" style="237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421" t="s">
        <v>2048</v>
      </c>
      <c r="E7" s="2421"/>
      <c r="F7" s="204"/>
      <c r="M7" s="9">
        <v>22</v>
      </c>
    </row>
    <row r="8" spans="1:13" ht="3" customHeight="1">
      <c r="C8" s="32"/>
      <c r="D8" s="10"/>
      <c r="E8" s="10"/>
      <c r="M8" s="9">
        <v>3</v>
      </c>
    </row>
    <row r="9" spans="1:13" ht="16.899999999999999" customHeight="1">
      <c r="C9" s="32"/>
      <c r="D9" s="45" t="s">
        <v>88</v>
      </c>
      <c r="E9" s="48" t="s">
        <v>286</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2046</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398" hidden="1"/>
    <col min="3" max="4" width="3" style="2398" customWidth="1"/>
    <col min="5" max="6" width="15" style="2398" customWidth="1"/>
    <col min="7" max="7" width="11.5703125" style="2398" customWidth="1"/>
    <col min="8" max="9" width="3" style="2398" customWidth="1"/>
    <col min="10" max="10" width="12" style="2398" customWidth="1"/>
    <col min="11" max="11" width="0.28515625" style="2398" customWidth="1"/>
    <col min="12" max="13" width="10" style="2398" customWidth="1"/>
    <col min="14" max="15" width="3" style="2398" customWidth="1"/>
    <col min="16" max="16" width="19" style="2398" customWidth="1"/>
    <col min="17" max="17" width="0.28515625" style="2398" customWidth="1"/>
    <col min="18" max="19" width="10" style="2398" customWidth="1"/>
    <col min="20" max="21" width="3" style="2398" customWidth="1"/>
    <col min="22" max="22" width="25" style="2398" customWidth="1"/>
    <col min="23" max="23" width="0.28515625" style="2398" customWidth="1"/>
    <col min="24" max="25" width="10" style="2398" customWidth="1"/>
    <col min="26" max="27" width="3" style="2398" customWidth="1"/>
    <col min="28" max="28" width="16" style="2398" customWidth="1"/>
    <col min="29" max="29" width="0.28515625" style="2398" customWidth="1"/>
    <col min="30" max="31" width="10" style="2398" customWidth="1"/>
    <col min="32" max="33" width="3" style="2398" customWidth="1"/>
    <col min="34" max="34" width="8" style="2398" customWidth="1"/>
    <col min="35" max="35" width="21" style="2398" customWidth="1"/>
    <col min="36" max="36" width="8" style="2398" customWidth="1"/>
    <col min="37" max="37" width="8" style="2390" customWidth="1"/>
    <col min="38" max="64" width="8" style="2398" customWidth="1"/>
    <col min="65" max="65" width="9.140625" style="2398" hidden="1"/>
  </cols>
  <sheetData>
    <row r="1" spans="1:65" s="239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324" customFormat="1" ht="11.25" hidden="1" customHeight="1">
      <c r="L2" s="1469" t="s">
        <v>278</v>
      </c>
      <c r="M2" s="1469" t="s">
        <v>279</v>
      </c>
      <c r="R2" s="1469" t="s">
        <v>280</v>
      </c>
      <c r="S2" s="1469" t="s">
        <v>279</v>
      </c>
      <c r="X2" s="1469" t="s">
        <v>278</v>
      </c>
      <c r="Y2" s="1469" t="s">
        <v>279</v>
      </c>
      <c r="AD2" s="1469" t="s">
        <v>278</v>
      </c>
      <c r="AE2" s="1469" t="s">
        <v>279</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69">
        <v>0</v>
      </c>
    </row>
    <row r="3" spans="1:65" s="2325" customFormat="1" ht="11.45" customHeight="1">
      <c r="AJ3" s="1490"/>
      <c r="AK3" s="243"/>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c r="BM3" s="1470">
        <v>11</v>
      </c>
    </row>
    <row r="4" spans="1:65" s="2331" customFormat="1" ht="34.5" customHeight="1">
      <c r="A4" s="1072"/>
      <c r="B4" s="1071"/>
      <c r="C4" s="1431"/>
      <c r="D4" s="2493" t="s">
        <v>281</v>
      </c>
      <c r="E4" s="2493"/>
      <c r="F4" s="2493"/>
      <c r="G4" s="2493"/>
      <c r="H4" s="2493"/>
      <c r="I4" s="2493"/>
      <c r="J4" s="2493"/>
      <c r="K4" s="635"/>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c r="BM4" s="443">
        <v>33</v>
      </c>
    </row>
    <row r="5" spans="1:65" s="2331" customFormat="1" ht="14.65" customHeight="1">
      <c r="A5" s="1548"/>
      <c r="B5" s="1547"/>
      <c r="C5" s="1431"/>
      <c r="D5" s="2516" t="str">
        <f>IF(org=0,"Не определено",org)</f>
        <v>ООО "Пятигорсктеплосервис"</v>
      </c>
      <c r="E5" s="2516"/>
      <c r="F5" s="2516"/>
      <c r="G5" s="2516"/>
      <c r="H5" s="2516"/>
      <c r="I5" s="2516"/>
      <c r="J5" s="2516"/>
      <c r="K5" s="635"/>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c r="BM5" s="1525">
        <v>14</v>
      </c>
    </row>
    <row r="6" spans="1:65" s="2331" customFormat="1" ht="14.65" customHeight="1">
      <c r="A6" s="1072"/>
      <c r="B6" s="1071"/>
      <c r="C6" s="1431"/>
      <c r="D6" s="635"/>
      <c r="E6" s="635"/>
      <c r="F6" s="635"/>
      <c r="G6" s="635"/>
      <c r="H6" s="635"/>
      <c r="I6" s="635"/>
      <c r="J6" s="635"/>
      <c r="K6" s="635"/>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c r="BM6" s="443">
        <v>14</v>
      </c>
    </row>
    <row r="7" spans="1:65" s="239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35" t="s">
        <v>88</v>
      </c>
      <c r="E8" s="2435" t="s">
        <v>105</v>
      </c>
      <c r="F8" s="2495" t="s">
        <v>123</v>
      </c>
      <c r="G8" s="2496"/>
      <c r="H8" s="2495" t="s">
        <v>88</v>
      </c>
      <c r="I8" s="2496"/>
      <c r="J8" s="2435" t="s">
        <v>124</v>
      </c>
      <c r="K8" s="1472"/>
      <c r="L8" s="2494" t="s">
        <v>282</v>
      </c>
      <c r="M8" s="2494"/>
      <c r="N8" s="2494"/>
      <c r="O8" s="2494"/>
      <c r="P8" s="2494"/>
      <c r="Q8" s="1473"/>
      <c r="R8" s="2417" t="s">
        <v>283</v>
      </c>
      <c r="S8" s="2422"/>
      <c r="T8" s="2422"/>
      <c r="U8" s="2422"/>
      <c r="V8" s="2422"/>
      <c r="W8" s="1473"/>
      <c r="X8" s="2435" t="s">
        <v>284</v>
      </c>
      <c r="Y8" s="2435"/>
      <c r="Z8" s="2435"/>
      <c r="AA8" s="2435"/>
      <c r="AB8" s="2435"/>
      <c r="AC8" s="1474"/>
      <c r="AD8" s="2435" t="s">
        <v>285</v>
      </c>
      <c r="AE8" s="2435"/>
      <c r="AF8" s="2435"/>
      <c r="AG8" s="2435"/>
      <c r="AH8" s="2417"/>
      <c r="AI8" s="2435" t="s">
        <v>286</v>
      </c>
      <c r="AJ8" s="1490"/>
      <c r="BM8" s="230">
        <v>32</v>
      </c>
    </row>
    <row r="9" spans="1:65" ht="23.25" customHeight="1">
      <c r="D9" s="2435"/>
      <c r="E9" s="2435"/>
      <c r="F9" s="2494" t="s">
        <v>89</v>
      </c>
      <c r="G9" s="2494" t="s">
        <v>129</v>
      </c>
      <c r="H9" s="2497"/>
      <c r="I9" s="2498"/>
      <c r="J9" s="2417"/>
      <c r="K9" s="1475"/>
      <c r="L9" s="2435" t="s">
        <v>287</v>
      </c>
      <c r="M9" s="2417"/>
      <c r="N9" s="2495" t="s">
        <v>88</v>
      </c>
      <c r="O9" s="2496"/>
      <c r="P9" s="2435" t="s">
        <v>130</v>
      </c>
      <c r="Q9" s="1472"/>
      <c r="R9" s="2435" t="s">
        <v>287</v>
      </c>
      <c r="S9" s="2417"/>
      <c r="T9" s="2495" t="s">
        <v>88</v>
      </c>
      <c r="U9" s="2496"/>
      <c r="V9" s="2435" t="s">
        <v>130</v>
      </c>
      <c r="W9" s="1472"/>
      <c r="X9" s="2435" t="s">
        <v>287</v>
      </c>
      <c r="Y9" s="2417"/>
      <c r="Z9" s="2495" t="s">
        <v>88</v>
      </c>
      <c r="AA9" s="2496"/>
      <c r="AB9" s="2435" t="s">
        <v>288</v>
      </c>
      <c r="AC9" s="1472"/>
      <c r="AD9" s="2435" t="s">
        <v>287</v>
      </c>
      <c r="AE9" s="2417"/>
      <c r="AF9" s="2495" t="s">
        <v>88</v>
      </c>
      <c r="AG9" s="2496"/>
      <c r="AH9" s="2417" t="s">
        <v>288</v>
      </c>
      <c r="AI9" s="2435"/>
      <c r="AJ9" s="1490"/>
      <c r="BM9" s="230">
        <v>22</v>
      </c>
    </row>
    <row r="10" spans="1:65" ht="24" customHeight="1">
      <c r="D10" s="2494"/>
      <c r="E10" s="2494"/>
      <c r="F10" s="2499"/>
      <c r="G10" s="2499"/>
      <c r="H10" s="2500"/>
      <c r="I10" s="2501"/>
      <c r="J10" s="2495"/>
      <c r="K10" s="1475"/>
      <c r="L10" s="1494" t="s">
        <v>289</v>
      </c>
      <c r="M10" s="1489" t="s">
        <v>290</v>
      </c>
      <c r="N10" s="2497"/>
      <c r="O10" s="2498"/>
      <c r="P10" s="2494"/>
      <c r="Q10" s="1472"/>
      <c r="R10" s="1494" t="s">
        <v>289</v>
      </c>
      <c r="S10" s="1489" t="s">
        <v>290</v>
      </c>
      <c r="T10" s="2497"/>
      <c r="U10" s="2498"/>
      <c r="V10" s="2494"/>
      <c r="W10" s="1472"/>
      <c r="X10" s="1494" t="s">
        <v>289</v>
      </c>
      <c r="Y10" s="1489" t="s">
        <v>290</v>
      </c>
      <c r="Z10" s="2497"/>
      <c r="AA10" s="2498"/>
      <c r="AB10" s="2494"/>
      <c r="AC10" s="1472"/>
      <c r="AD10" s="1494" t="s">
        <v>289</v>
      </c>
      <c r="AE10" s="1489" t="s">
        <v>290</v>
      </c>
      <c r="AF10" s="2497"/>
      <c r="AG10" s="2498"/>
      <c r="AH10" s="2495"/>
      <c r="AI10" s="2494"/>
      <c r="AJ10" s="1490"/>
      <c r="AK10" s="191" t="s">
        <v>291</v>
      </c>
      <c r="AL10" s="191" t="s">
        <v>131</v>
      </c>
      <c r="BM10" s="230">
        <v>23</v>
      </c>
    </row>
    <row r="11" spans="1:65" ht="15" customHeight="1">
      <c r="D11" s="2502" t="s">
        <v>109</v>
      </c>
      <c r="E11" s="2504" t="s">
        <v>292</v>
      </c>
      <c r="F11" s="2504" t="s">
        <v>293</v>
      </c>
      <c r="G11" s="2507" t="s">
        <v>19</v>
      </c>
      <c r="H11" s="1515"/>
      <c r="I11" s="2509"/>
      <c r="J11" s="2463"/>
      <c r="K11" s="1430"/>
      <c r="L11" s="2455"/>
      <c r="M11" s="2455"/>
      <c r="N11" s="1500"/>
      <c r="O11" s="2455"/>
      <c r="P11" s="2463"/>
      <c r="Q11" s="1501"/>
      <c r="R11" s="2455"/>
      <c r="S11" s="2455"/>
      <c r="T11" s="1502"/>
      <c r="U11" s="2455"/>
      <c r="V11" s="2463"/>
      <c r="W11" s="1503"/>
      <c r="X11" s="2455"/>
      <c r="Y11" s="2455"/>
      <c r="Z11" s="1500"/>
      <c r="AA11" s="2455"/>
      <c r="AB11" s="2463"/>
      <c r="AC11" s="1504"/>
      <c r="AD11" s="2455"/>
      <c r="AE11" s="2455"/>
      <c r="AF11" s="1429"/>
      <c r="AG11" s="1429"/>
      <c r="AH11" s="1505"/>
      <c r="AI11" s="1212"/>
      <c r="AJ11" s="1490"/>
      <c r="BM11" s="230">
        <v>14</v>
      </c>
    </row>
    <row r="12" spans="1:65" ht="14.65" customHeight="1">
      <c r="D12" s="2502"/>
      <c r="E12" s="2504"/>
      <c r="F12" s="2504"/>
      <c r="G12" s="2508"/>
      <c r="H12" s="1516"/>
      <c r="I12" s="2510"/>
      <c r="J12" s="2464"/>
      <c r="K12" s="1526"/>
      <c r="L12" s="2456"/>
      <c r="M12" s="2456"/>
      <c r="N12" s="1506"/>
      <c r="O12" s="2456"/>
      <c r="P12" s="2464"/>
      <c r="Q12" s="1507"/>
      <c r="R12" s="2456"/>
      <c r="S12" s="2456"/>
      <c r="T12" s="1508"/>
      <c r="U12" s="2456"/>
      <c r="V12" s="2464"/>
      <c r="W12" s="1509"/>
      <c r="X12" s="2456"/>
      <c r="Y12" s="2456"/>
      <c r="Z12" s="1506"/>
      <c r="AA12" s="2456"/>
      <c r="AB12" s="2464"/>
      <c r="AC12" s="1510"/>
      <c r="AD12" s="2456"/>
      <c r="AE12" s="2456"/>
      <c r="AF12" s="1511"/>
      <c r="AG12" s="1511"/>
      <c r="AH12" s="2513"/>
      <c r="AI12" s="2514"/>
      <c r="AJ12" s="1490"/>
      <c r="BM12" s="230">
        <v>14</v>
      </c>
    </row>
    <row r="13" spans="1:65" ht="14.65" customHeight="1">
      <c r="D13" s="2502"/>
      <c r="E13" s="2504"/>
      <c r="F13" s="2504"/>
      <c r="G13" s="2508"/>
      <c r="H13" s="1516"/>
      <c r="I13" s="2510"/>
      <c r="J13" s="2464"/>
      <c r="K13" s="1526"/>
      <c r="L13" s="2456"/>
      <c r="M13" s="2456"/>
      <c r="N13" s="1506"/>
      <c r="O13" s="2456"/>
      <c r="P13" s="2464"/>
      <c r="Q13" s="1507"/>
      <c r="R13" s="2456"/>
      <c r="S13" s="2456"/>
      <c r="T13" s="1508"/>
      <c r="U13" s="2456"/>
      <c r="V13" s="2464"/>
      <c r="W13" s="1509"/>
      <c r="X13" s="2456"/>
      <c r="Y13" s="2456"/>
      <c r="Z13" s="1428"/>
      <c r="AA13" s="1511"/>
      <c r="AB13" s="2513"/>
      <c r="AC13" s="2513"/>
      <c r="AD13" s="2513"/>
      <c r="AE13" s="2513"/>
      <c r="AF13" s="2513"/>
      <c r="AG13" s="2513"/>
      <c r="AH13" s="2513"/>
      <c r="AI13" s="2514"/>
      <c r="AJ13" s="1490"/>
      <c r="BM13" s="230">
        <v>14</v>
      </c>
    </row>
    <row r="14" spans="1:65" ht="14.65" customHeight="1">
      <c r="D14" s="2502"/>
      <c r="E14" s="2504"/>
      <c r="F14" s="2504"/>
      <c r="G14" s="2508"/>
      <c r="H14" s="1516"/>
      <c r="I14" s="2510"/>
      <c r="J14" s="2464"/>
      <c r="K14" s="1526"/>
      <c r="L14" s="2456"/>
      <c r="M14" s="2456"/>
      <c r="N14" s="1506"/>
      <c r="O14" s="2456"/>
      <c r="P14" s="2464"/>
      <c r="Q14" s="1507"/>
      <c r="R14" s="2456"/>
      <c r="S14" s="2456"/>
      <c r="T14" s="1512"/>
      <c r="U14" s="1513"/>
      <c r="V14" s="2513"/>
      <c r="W14" s="2513"/>
      <c r="X14" s="2513"/>
      <c r="Y14" s="2513"/>
      <c r="Z14" s="2513"/>
      <c r="AA14" s="2513"/>
      <c r="AB14" s="2513"/>
      <c r="AC14" s="2513"/>
      <c r="AD14" s="2513"/>
      <c r="AE14" s="2513"/>
      <c r="AF14" s="2513"/>
      <c r="AG14" s="2513"/>
      <c r="AH14" s="2513"/>
      <c r="AI14" s="2514"/>
      <c r="AJ14" s="1490"/>
      <c r="BM14" s="230">
        <v>14</v>
      </c>
    </row>
    <row r="15" spans="1:65" ht="11.45" customHeight="1">
      <c r="D15" s="2502"/>
      <c r="E15" s="2504"/>
      <c r="F15" s="2504"/>
      <c r="G15" s="2508"/>
      <c r="H15" s="1517"/>
      <c r="I15" s="2510"/>
      <c r="J15" s="2464"/>
      <c r="K15" s="1526"/>
      <c r="L15" s="2456"/>
      <c r="M15" s="2456"/>
      <c r="N15" s="1511"/>
      <c r="O15" s="1511"/>
      <c r="P15" s="2513"/>
      <c r="Q15" s="2513"/>
      <c r="R15" s="2513"/>
      <c r="S15" s="2513"/>
      <c r="T15" s="2513"/>
      <c r="U15" s="2513"/>
      <c r="V15" s="2513"/>
      <c r="W15" s="2513"/>
      <c r="X15" s="2513"/>
      <c r="Y15" s="2513"/>
      <c r="Z15" s="2513"/>
      <c r="AA15" s="2513"/>
      <c r="AB15" s="2513"/>
      <c r="AC15" s="2513"/>
      <c r="AD15" s="2513"/>
      <c r="AE15" s="2513"/>
      <c r="AF15" s="2513"/>
      <c r="AG15" s="2513"/>
      <c r="AH15" s="2513"/>
      <c r="AI15" s="2514"/>
      <c r="AJ15" s="1490"/>
      <c r="BM15" s="230">
        <v>11</v>
      </c>
    </row>
    <row r="16" spans="1:65" s="2325" customFormat="1" ht="11.45" customHeight="1">
      <c r="D16" s="2503"/>
      <c r="E16" s="2505"/>
      <c r="F16" s="2506"/>
      <c r="G16" s="2450"/>
      <c r="H16" s="1514"/>
      <c r="I16" s="1518"/>
      <c r="J16" s="2511"/>
      <c r="K16" s="2511"/>
      <c r="L16" s="2511"/>
      <c r="M16" s="2511"/>
      <c r="N16" s="2511"/>
      <c r="O16" s="2511"/>
      <c r="P16" s="2511"/>
      <c r="Q16" s="2511"/>
      <c r="R16" s="2511"/>
      <c r="S16" s="2511"/>
      <c r="T16" s="2511"/>
      <c r="U16" s="2511"/>
      <c r="V16" s="2511"/>
      <c r="W16" s="2511"/>
      <c r="X16" s="2511"/>
      <c r="Y16" s="2511"/>
      <c r="Z16" s="2511"/>
      <c r="AA16" s="2511"/>
      <c r="AB16" s="2511"/>
      <c r="AC16" s="2511"/>
      <c r="AD16" s="2511"/>
      <c r="AE16" s="2511"/>
      <c r="AF16" s="2511"/>
      <c r="AG16" s="2511"/>
      <c r="AH16" s="2511"/>
      <c r="AI16" s="2512"/>
      <c r="AJ16" s="1490"/>
      <c r="AK16" s="243"/>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c r="BM16" s="1470">
        <v>11</v>
      </c>
    </row>
    <row r="17" spans="4:65" ht="15" customHeight="1">
      <c r="D17" s="2502" t="s">
        <v>110</v>
      </c>
      <c r="E17" s="2504" t="s">
        <v>292</v>
      </c>
      <c r="F17" s="2504" t="s">
        <v>294</v>
      </c>
      <c r="G17" s="2507" t="s">
        <v>19</v>
      </c>
      <c r="H17" s="1515"/>
      <c r="I17" s="2509"/>
      <c r="J17" s="2463"/>
      <c r="K17" s="1430"/>
      <c r="L17" s="2455"/>
      <c r="M17" s="2455"/>
      <c r="N17" s="1500"/>
      <c r="O17" s="2455"/>
      <c r="P17" s="2463"/>
      <c r="Q17" s="1501"/>
      <c r="R17" s="2455"/>
      <c r="S17" s="2455"/>
      <c r="T17" s="1502"/>
      <c r="U17" s="2455"/>
      <c r="V17" s="2463"/>
      <c r="W17" s="1503"/>
      <c r="X17" s="2455"/>
      <c r="Y17" s="2455"/>
      <c r="Z17" s="1500"/>
      <c r="AA17" s="2455"/>
      <c r="AB17" s="2463"/>
      <c r="AC17" s="1504"/>
      <c r="AD17" s="2455"/>
      <c r="AE17" s="2455"/>
      <c r="AF17" s="1429"/>
      <c r="AG17" s="1429"/>
      <c r="AH17" s="1505"/>
      <c r="AI17" s="1212"/>
      <c r="AJ17" s="1490"/>
      <c r="BM17" s="230">
        <v>14</v>
      </c>
    </row>
    <row r="18" spans="4:65" ht="14.65" customHeight="1">
      <c r="D18" s="2502"/>
      <c r="E18" s="2504"/>
      <c r="F18" s="2504"/>
      <c r="G18" s="2508"/>
      <c r="H18" s="1516"/>
      <c r="I18" s="2510"/>
      <c r="J18" s="2464"/>
      <c r="K18" s="1499"/>
      <c r="L18" s="2456"/>
      <c r="M18" s="2456"/>
      <c r="N18" s="1506"/>
      <c r="O18" s="2456"/>
      <c r="P18" s="2464"/>
      <c r="Q18" s="1507"/>
      <c r="R18" s="2456"/>
      <c r="S18" s="2456"/>
      <c r="T18" s="1508"/>
      <c r="U18" s="2456"/>
      <c r="V18" s="2464"/>
      <c r="W18" s="1509"/>
      <c r="X18" s="2456"/>
      <c r="Y18" s="2456"/>
      <c r="Z18" s="1506"/>
      <c r="AA18" s="2456"/>
      <c r="AB18" s="2464"/>
      <c r="AC18" s="1510"/>
      <c r="AD18" s="2456"/>
      <c r="AE18" s="2456"/>
      <c r="AF18" s="1511"/>
      <c r="AG18" s="1511"/>
      <c r="AH18" s="2513"/>
      <c r="AI18" s="2514"/>
      <c r="AJ18" s="1490"/>
      <c r="BM18" s="230">
        <v>14</v>
      </c>
    </row>
    <row r="19" spans="4:65" ht="14.65" customHeight="1">
      <c r="D19" s="2502"/>
      <c r="E19" s="2504"/>
      <c r="F19" s="2504"/>
      <c r="G19" s="2508"/>
      <c r="H19" s="1516"/>
      <c r="I19" s="2510"/>
      <c r="J19" s="2464"/>
      <c r="K19" s="1499"/>
      <c r="L19" s="2456"/>
      <c r="M19" s="2456"/>
      <c r="N19" s="1506"/>
      <c r="O19" s="2456"/>
      <c r="P19" s="2464"/>
      <c r="Q19" s="1507"/>
      <c r="R19" s="2456"/>
      <c r="S19" s="2456"/>
      <c r="T19" s="1508"/>
      <c r="U19" s="2456"/>
      <c r="V19" s="2464"/>
      <c r="W19" s="1509"/>
      <c r="X19" s="2456"/>
      <c r="Y19" s="2456"/>
      <c r="Z19" s="1428"/>
      <c r="AA19" s="1511"/>
      <c r="AB19" s="2513"/>
      <c r="AC19" s="2513"/>
      <c r="AD19" s="2513"/>
      <c r="AE19" s="2513"/>
      <c r="AF19" s="2513"/>
      <c r="AG19" s="2513"/>
      <c r="AH19" s="2513"/>
      <c r="AI19" s="2514"/>
      <c r="AJ19" s="1490"/>
      <c r="BM19" s="230">
        <v>14</v>
      </c>
    </row>
    <row r="20" spans="4:65" ht="14.65" customHeight="1">
      <c r="D20" s="2502"/>
      <c r="E20" s="2504"/>
      <c r="F20" s="2504"/>
      <c r="G20" s="2508"/>
      <c r="H20" s="1516"/>
      <c r="I20" s="2510"/>
      <c r="J20" s="2464"/>
      <c r="K20" s="1499"/>
      <c r="L20" s="2456"/>
      <c r="M20" s="2456"/>
      <c r="N20" s="1506"/>
      <c r="O20" s="2456"/>
      <c r="P20" s="2464"/>
      <c r="Q20" s="1507"/>
      <c r="R20" s="2456"/>
      <c r="S20" s="2456"/>
      <c r="T20" s="1512"/>
      <c r="U20" s="1513"/>
      <c r="V20" s="2513"/>
      <c r="W20" s="2513"/>
      <c r="X20" s="2513"/>
      <c r="Y20" s="2513"/>
      <c r="Z20" s="2513"/>
      <c r="AA20" s="2513"/>
      <c r="AB20" s="2513"/>
      <c r="AC20" s="2513"/>
      <c r="AD20" s="2513"/>
      <c r="AE20" s="2513"/>
      <c r="AF20" s="2513"/>
      <c r="AG20" s="2513"/>
      <c r="AH20" s="2513"/>
      <c r="AI20" s="2514"/>
      <c r="AJ20" s="1490"/>
      <c r="BM20" s="230">
        <v>14</v>
      </c>
    </row>
    <row r="21" spans="4:65" ht="11.45" customHeight="1">
      <c r="D21" s="2502"/>
      <c r="E21" s="2504"/>
      <c r="F21" s="2504"/>
      <c r="G21" s="2508"/>
      <c r="H21" s="1517"/>
      <c r="I21" s="2510"/>
      <c r="J21" s="2464"/>
      <c r="K21" s="1499"/>
      <c r="L21" s="2456"/>
      <c r="M21" s="2456"/>
      <c r="N21" s="1511"/>
      <c r="O21" s="1511"/>
      <c r="P21" s="2513"/>
      <c r="Q21" s="2513"/>
      <c r="R21" s="2513"/>
      <c r="S21" s="2513"/>
      <c r="T21" s="2513"/>
      <c r="U21" s="2513"/>
      <c r="V21" s="2513"/>
      <c r="W21" s="2513"/>
      <c r="X21" s="2513"/>
      <c r="Y21" s="2513"/>
      <c r="Z21" s="2513"/>
      <c r="AA21" s="2513"/>
      <c r="AB21" s="2513"/>
      <c r="AC21" s="2513"/>
      <c r="AD21" s="2513"/>
      <c r="AE21" s="2513"/>
      <c r="AF21" s="2513"/>
      <c r="AG21" s="2513"/>
      <c r="AH21" s="2513"/>
      <c r="AI21" s="2514"/>
      <c r="AJ21" s="1490"/>
      <c r="BM21" s="230">
        <v>11</v>
      </c>
    </row>
    <row r="22" spans="4:65" s="2325" customFormat="1" ht="11.45" customHeight="1">
      <c r="D22" s="2503"/>
      <c r="E22" s="2505"/>
      <c r="F22" s="2506"/>
      <c r="G22" s="2450"/>
      <c r="H22" s="1514"/>
      <c r="I22" s="1518"/>
      <c r="J22" s="2511"/>
      <c r="K22" s="2511"/>
      <c r="L22" s="2511"/>
      <c r="M22" s="2511"/>
      <c r="N22" s="2511"/>
      <c r="O22" s="2511"/>
      <c r="P22" s="2511"/>
      <c r="Q22" s="2511"/>
      <c r="R22" s="2511"/>
      <c r="S22" s="2511"/>
      <c r="T22" s="2511"/>
      <c r="U22" s="2511"/>
      <c r="V22" s="2511"/>
      <c r="W22" s="2511"/>
      <c r="X22" s="2511"/>
      <c r="Y22" s="2511"/>
      <c r="Z22" s="2511"/>
      <c r="AA22" s="2511"/>
      <c r="AB22" s="2511"/>
      <c r="AC22" s="2511"/>
      <c r="AD22" s="2511"/>
      <c r="AE22" s="2511"/>
      <c r="AF22" s="2511"/>
      <c r="AG22" s="2511"/>
      <c r="AH22" s="2511"/>
      <c r="AI22" s="2512"/>
      <c r="AJ22" s="1490"/>
      <c r="AK22" s="243"/>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70">
        <v>11</v>
      </c>
    </row>
    <row r="23" spans="4:65" ht="15" customHeight="1">
      <c r="D23" s="2502" t="s">
        <v>90</v>
      </c>
      <c r="E23" s="2504" t="s">
        <v>292</v>
      </c>
      <c r="F23" s="2504" t="s">
        <v>295</v>
      </c>
      <c r="G23" s="2507" t="s">
        <v>19</v>
      </c>
      <c r="H23" s="1515"/>
      <c r="I23" s="2509"/>
      <c r="J23" s="2463"/>
      <c r="K23" s="1430"/>
      <c r="L23" s="2455"/>
      <c r="M23" s="2455"/>
      <c r="N23" s="1500"/>
      <c r="O23" s="2455"/>
      <c r="P23" s="2463"/>
      <c r="Q23" s="1501"/>
      <c r="R23" s="2455"/>
      <c r="S23" s="2455"/>
      <c r="T23" s="1502"/>
      <c r="U23" s="2455"/>
      <c r="V23" s="2463"/>
      <c r="W23" s="1503"/>
      <c r="X23" s="2455"/>
      <c r="Y23" s="2455"/>
      <c r="Z23" s="1500"/>
      <c r="AA23" s="2455"/>
      <c r="AB23" s="2463"/>
      <c r="AC23" s="1504"/>
      <c r="AD23" s="2455"/>
      <c r="AE23" s="2455"/>
      <c r="AF23" s="1429"/>
      <c r="AG23" s="1429"/>
      <c r="AH23" s="1505"/>
      <c r="AI23" s="1212"/>
      <c r="AJ23" s="1490"/>
      <c r="AK23" s="243" t="s">
        <v>98</v>
      </c>
      <c r="BM23" s="230">
        <v>14</v>
      </c>
    </row>
    <row r="24" spans="4:65" ht="14.65" customHeight="1">
      <c r="D24" s="2502"/>
      <c r="E24" s="2504"/>
      <c r="F24" s="2504"/>
      <c r="G24" s="2508"/>
      <c r="H24" s="1516"/>
      <c r="I24" s="2510"/>
      <c r="J24" s="2464"/>
      <c r="K24" s="1526"/>
      <c r="L24" s="2456"/>
      <c r="M24" s="2456"/>
      <c r="N24" s="1506"/>
      <c r="O24" s="2456"/>
      <c r="P24" s="2464"/>
      <c r="Q24" s="1507"/>
      <c r="R24" s="2456"/>
      <c r="S24" s="2456"/>
      <c r="T24" s="1508"/>
      <c r="U24" s="2456"/>
      <c r="V24" s="2464"/>
      <c r="W24" s="1509"/>
      <c r="X24" s="2456"/>
      <c r="Y24" s="2456"/>
      <c r="Z24" s="1506"/>
      <c r="AA24" s="2456"/>
      <c r="AB24" s="2464"/>
      <c r="AC24" s="1510"/>
      <c r="AD24" s="2456"/>
      <c r="AE24" s="2456"/>
      <c r="AF24" s="1511"/>
      <c r="AG24" s="1511"/>
      <c r="AH24" s="2513"/>
      <c r="AI24" s="2514"/>
      <c r="AJ24" s="1490"/>
      <c r="BM24" s="230">
        <v>14</v>
      </c>
    </row>
    <row r="25" spans="4:65" ht="14.65" customHeight="1">
      <c r="D25" s="2502"/>
      <c r="E25" s="2504"/>
      <c r="F25" s="2504"/>
      <c r="G25" s="2508"/>
      <c r="H25" s="1516"/>
      <c r="I25" s="2510"/>
      <c r="J25" s="2464"/>
      <c r="K25" s="1526"/>
      <c r="L25" s="2456"/>
      <c r="M25" s="2456"/>
      <c r="N25" s="1506"/>
      <c r="O25" s="2456"/>
      <c r="P25" s="2464"/>
      <c r="Q25" s="1507"/>
      <c r="R25" s="2456"/>
      <c r="S25" s="2456"/>
      <c r="T25" s="1508"/>
      <c r="U25" s="2456"/>
      <c r="V25" s="2464"/>
      <c r="W25" s="1509"/>
      <c r="X25" s="2456"/>
      <c r="Y25" s="2456"/>
      <c r="Z25" s="1428"/>
      <c r="AA25" s="1511"/>
      <c r="AB25" s="2513"/>
      <c r="AC25" s="2513"/>
      <c r="AD25" s="2513"/>
      <c r="AE25" s="2513"/>
      <c r="AF25" s="2513"/>
      <c r="AG25" s="2513"/>
      <c r="AH25" s="2513"/>
      <c r="AI25" s="2514"/>
      <c r="AJ25" s="1490"/>
      <c r="BM25" s="230">
        <v>14</v>
      </c>
    </row>
    <row r="26" spans="4:65" ht="14.65" customHeight="1">
      <c r="D26" s="2502"/>
      <c r="E26" s="2504"/>
      <c r="F26" s="2504"/>
      <c r="G26" s="2508"/>
      <c r="H26" s="1516"/>
      <c r="I26" s="2510"/>
      <c r="J26" s="2464"/>
      <c r="K26" s="1526"/>
      <c r="L26" s="2456"/>
      <c r="M26" s="2456"/>
      <c r="N26" s="1506"/>
      <c r="O26" s="2456"/>
      <c r="P26" s="2464"/>
      <c r="Q26" s="1507"/>
      <c r="R26" s="2456"/>
      <c r="S26" s="2456"/>
      <c r="T26" s="1512"/>
      <c r="U26" s="1513"/>
      <c r="V26" s="2513"/>
      <c r="W26" s="2513"/>
      <c r="X26" s="2513"/>
      <c r="Y26" s="2513"/>
      <c r="Z26" s="2513"/>
      <c r="AA26" s="2513"/>
      <c r="AB26" s="2513"/>
      <c r="AC26" s="2513"/>
      <c r="AD26" s="2513"/>
      <c r="AE26" s="2513"/>
      <c r="AF26" s="2513"/>
      <c r="AG26" s="2513"/>
      <c r="AH26" s="2513"/>
      <c r="AI26" s="2514"/>
      <c r="AJ26" s="1490"/>
      <c r="BM26" s="230">
        <v>14</v>
      </c>
    </row>
    <row r="27" spans="4:65" ht="11.45" customHeight="1">
      <c r="D27" s="2502"/>
      <c r="E27" s="2504"/>
      <c r="F27" s="2504"/>
      <c r="G27" s="2508"/>
      <c r="H27" s="1517"/>
      <c r="I27" s="2510"/>
      <c r="J27" s="2464"/>
      <c r="K27" s="1526"/>
      <c r="L27" s="2456"/>
      <c r="M27" s="2456"/>
      <c r="N27" s="1511"/>
      <c r="O27" s="1511"/>
      <c r="P27" s="2513"/>
      <c r="Q27" s="2513"/>
      <c r="R27" s="2513"/>
      <c r="S27" s="2513"/>
      <c r="T27" s="2513"/>
      <c r="U27" s="2513"/>
      <c r="V27" s="2513"/>
      <c r="W27" s="2513"/>
      <c r="X27" s="2513"/>
      <c r="Y27" s="2513"/>
      <c r="Z27" s="2513"/>
      <c r="AA27" s="2513"/>
      <c r="AB27" s="2513"/>
      <c r="AC27" s="2513"/>
      <c r="AD27" s="2513"/>
      <c r="AE27" s="2513"/>
      <c r="AF27" s="2513"/>
      <c r="AG27" s="2513"/>
      <c r="AH27" s="2513"/>
      <c r="AI27" s="2514"/>
      <c r="AJ27" s="1490"/>
      <c r="BM27" s="230">
        <v>11</v>
      </c>
    </row>
    <row r="28" spans="4:65" s="2325" customFormat="1" ht="11.45" customHeight="1">
      <c r="D28" s="2503"/>
      <c r="E28" s="2505"/>
      <c r="F28" s="2506"/>
      <c r="G28" s="2450"/>
      <c r="H28" s="1514"/>
      <c r="I28" s="1518"/>
      <c r="J28" s="2511"/>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2"/>
      <c r="AJ28" s="1490"/>
      <c r="AK28" s="243"/>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c r="BM28" s="1470">
        <v>11</v>
      </c>
    </row>
    <row r="29" spans="4:65" ht="15" customHeight="1">
      <c r="D29" s="2502" t="s">
        <v>91</v>
      </c>
      <c r="E29" s="2504" t="s">
        <v>292</v>
      </c>
      <c r="F29" s="2504" t="s">
        <v>296</v>
      </c>
      <c r="G29" s="2507" t="s">
        <v>19</v>
      </c>
      <c r="H29" s="1515"/>
      <c r="I29" s="2509"/>
      <c r="J29" s="2463"/>
      <c r="K29" s="1430"/>
      <c r="L29" s="2455"/>
      <c r="M29" s="2455"/>
      <c r="N29" s="1500"/>
      <c r="O29" s="2455"/>
      <c r="P29" s="2463"/>
      <c r="Q29" s="1501"/>
      <c r="R29" s="2455"/>
      <c r="S29" s="2455"/>
      <c r="T29" s="1502"/>
      <c r="U29" s="2455"/>
      <c r="V29" s="2463"/>
      <c r="W29" s="1503"/>
      <c r="X29" s="2455"/>
      <c r="Y29" s="2455"/>
      <c r="Z29" s="1500"/>
      <c r="AA29" s="2455"/>
      <c r="AB29" s="2463"/>
      <c r="AC29" s="1504"/>
      <c r="AD29" s="2455"/>
      <c r="AE29" s="2455"/>
      <c r="AF29" s="1429"/>
      <c r="AG29" s="1429"/>
      <c r="AH29" s="1505"/>
      <c r="AI29" s="1212"/>
      <c r="AJ29" s="1490"/>
      <c r="BM29" s="230">
        <v>14</v>
      </c>
    </row>
    <row r="30" spans="4:65" ht="14.65" customHeight="1">
      <c r="D30" s="2502"/>
      <c r="E30" s="2504"/>
      <c r="F30" s="2504"/>
      <c r="G30" s="2508"/>
      <c r="H30" s="1516"/>
      <c r="I30" s="2510"/>
      <c r="J30" s="2464"/>
      <c r="K30" s="1499"/>
      <c r="L30" s="2456"/>
      <c r="M30" s="2456"/>
      <c r="N30" s="1506"/>
      <c r="O30" s="2456"/>
      <c r="P30" s="2464"/>
      <c r="Q30" s="1507"/>
      <c r="R30" s="2456"/>
      <c r="S30" s="2456"/>
      <c r="T30" s="1508"/>
      <c r="U30" s="2456"/>
      <c r="V30" s="2464"/>
      <c r="W30" s="1509"/>
      <c r="X30" s="2456"/>
      <c r="Y30" s="2456"/>
      <c r="Z30" s="1506"/>
      <c r="AA30" s="2456"/>
      <c r="AB30" s="2464"/>
      <c r="AC30" s="1510"/>
      <c r="AD30" s="2456"/>
      <c r="AE30" s="2456"/>
      <c r="AF30" s="1511"/>
      <c r="AG30" s="1511"/>
      <c r="AH30" s="2513"/>
      <c r="AI30" s="2514"/>
      <c r="AJ30" s="1490"/>
      <c r="BM30" s="230">
        <v>14</v>
      </c>
    </row>
    <row r="31" spans="4:65" ht="14.65" customHeight="1">
      <c r="D31" s="2502"/>
      <c r="E31" s="2504"/>
      <c r="F31" s="2504"/>
      <c r="G31" s="2508"/>
      <c r="H31" s="1516"/>
      <c r="I31" s="2510"/>
      <c r="J31" s="2464"/>
      <c r="K31" s="1499"/>
      <c r="L31" s="2456"/>
      <c r="M31" s="2456"/>
      <c r="N31" s="1506"/>
      <c r="O31" s="2456"/>
      <c r="P31" s="2464"/>
      <c r="Q31" s="1507"/>
      <c r="R31" s="2456"/>
      <c r="S31" s="2456"/>
      <c r="T31" s="1508"/>
      <c r="U31" s="2456"/>
      <c r="V31" s="2464"/>
      <c r="W31" s="1509"/>
      <c r="X31" s="2456"/>
      <c r="Y31" s="2456"/>
      <c r="Z31" s="1428"/>
      <c r="AA31" s="1511"/>
      <c r="AB31" s="2513"/>
      <c r="AC31" s="2513"/>
      <c r="AD31" s="2513"/>
      <c r="AE31" s="2513"/>
      <c r="AF31" s="2513"/>
      <c r="AG31" s="2513"/>
      <c r="AH31" s="2513"/>
      <c r="AI31" s="2514"/>
      <c r="AJ31" s="1490"/>
      <c r="BM31" s="230">
        <v>14</v>
      </c>
    </row>
    <row r="32" spans="4:65" ht="14.65" customHeight="1">
      <c r="D32" s="2502"/>
      <c r="E32" s="2504"/>
      <c r="F32" s="2504"/>
      <c r="G32" s="2508"/>
      <c r="H32" s="1516"/>
      <c r="I32" s="2510"/>
      <c r="J32" s="2464"/>
      <c r="K32" s="1499"/>
      <c r="L32" s="2456"/>
      <c r="M32" s="2456"/>
      <c r="N32" s="1506"/>
      <c r="O32" s="2456"/>
      <c r="P32" s="2464"/>
      <c r="Q32" s="1507"/>
      <c r="R32" s="2456"/>
      <c r="S32" s="2456"/>
      <c r="T32" s="1512"/>
      <c r="U32" s="1513"/>
      <c r="V32" s="2513"/>
      <c r="W32" s="2513"/>
      <c r="X32" s="2513"/>
      <c r="Y32" s="2513"/>
      <c r="Z32" s="2513"/>
      <c r="AA32" s="2513"/>
      <c r="AB32" s="2513"/>
      <c r="AC32" s="2513"/>
      <c r="AD32" s="2513"/>
      <c r="AE32" s="2513"/>
      <c r="AF32" s="2513"/>
      <c r="AG32" s="2513"/>
      <c r="AH32" s="2513"/>
      <c r="AI32" s="2514"/>
      <c r="AJ32" s="1490"/>
      <c r="BM32" s="230">
        <v>14</v>
      </c>
    </row>
    <row r="33" spans="4:65" ht="11.45" customHeight="1">
      <c r="D33" s="2502"/>
      <c r="E33" s="2504"/>
      <c r="F33" s="2504"/>
      <c r="G33" s="2508"/>
      <c r="H33" s="1517"/>
      <c r="I33" s="2510"/>
      <c r="J33" s="2464"/>
      <c r="K33" s="1499"/>
      <c r="L33" s="2456"/>
      <c r="M33" s="2456"/>
      <c r="N33" s="1511"/>
      <c r="O33" s="1511"/>
      <c r="P33" s="2513"/>
      <c r="Q33" s="2513"/>
      <c r="R33" s="2513"/>
      <c r="S33" s="2513"/>
      <c r="T33" s="2513"/>
      <c r="U33" s="2513"/>
      <c r="V33" s="2513"/>
      <c r="W33" s="2513"/>
      <c r="X33" s="2513"/>
      <c r="Y33" s="2513"/>
      <c r="Z33" s="2513"/>
      <c r="AA33" s="2513"/>
      <c r="AB33" s="2513"/>
      <c r="AC33" s="2513"/>
      <c r="AD33" s="2513"/>
      <c r="AE33" s="2513"/>
      <c r="AF33" s="2513"/>
      <c r="AG33" s="2513"/>
      <c r="AH33" s="2513"/>
      <c r="AI33" s="2514"/>
      <c r="AJ33" s="1490"/>
      <c r="BM33" s="230">
        <v>11</v>
      </c>
    </row>
    <row r="34" spans="4:65" s="2325" customFormat="1" ht="11.45" customHeight="1">
      <c r="D34" s="2503"/>
      <c r="E34" s="2505"/>
      <c r="F34" s="2506"/>
      <c r="G34" s="2450"/>
      <c r="H34" s="1514"/>
      <c r="I34" s="1518"/>
      <c r="J34" s="2511"/>
      <c r="K34" s="2511"/>
      <c r="L34" s="2511"/>
      <c r="M34" s="2511"/>
      <c r="N34" s="2511"/>
      <c r="O34" s="2511"/>
      <c r="P34" s="2511"/>
      <c r="Q34" s="2511"/>
      <c r="R34" s="2511"/>
      <c r="S34" s="2511"/>
      <c r="T34" s="2511"/>
      <c r="U34" s="2511"/>
      <c r="V34" s="2511"/>
      <c r="W34" s="2511"/>
      <c r="X34" s="2511"/>
      <c r="Y34" s="2511"/>
      <c r="Z34" s="2511"/>
      <c r="AA34" s="2511"/>
      <c r="AB34" s="2511"/>
      <c r="AC34" s="2511"/>
      <c r="AD34" s="2511"/>
      <c r="AE34" s="2511"/>
      <c r="AF34" s="2511"/>
      <c r="AG34" s="2511"/>
      <c r="AH34" s="2511"/>
      <c r="AI34" s="2512"/>
      <c r="AJ34" s="1490"/>
      <c r="AK34" s="243"/>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c r="BM34" s="1470">
        <v>11</v>
      </c>
    </row>
    <row r="35" spans="4:65" ht="15" customHeight="1">
      <c r="D35" s="2502" t="s">
        <v>111</v>
      </c>
      <c r="E35" s="2504" t="s">
        <v>292</v>
      </c>
      <c r="F35" s="2504" t="s">
        <v>297</v>
      </c>
      <c r="G35" s="2507" t="s">
        <v>19</v>
      </c>
      <c r="H35" s="1515"/>
      <c r="I35" s="2509"/>
      <c r="J35" s="2463"/>
      <c r="K35" s="1430"/>
      <c r="L35" s="2455"/>
      <c r="M35" s="2455"/>
      <c r="N35" s="1500"/>
      <c r="O35" s="2455"/>
      <c r="P35" s="2463"/>
      <c r="Q35" s="1501"/>
      <c r="R35" s="2455"/>
      <c r="S35" s="2455"/>
      <c r="T35" s="1502"/>
      <c r="U35" s="2455"/>
      <c r="V35" s="2463"/>
      <c r="W35" s="1503"/>
      <c r="X35" s="2455"/>
      <c r="Y35" s="2455"/>
      <c r="Z35" s="1500"/>
      <c r="AA35" s="2455"/>
      <c r="AB35" s="2463"/>
      <c r="AC35" s="1504"/>
      <c r="AD35" s="2455"/>
      <c r="AE35" s="2455"/>
      <c r="AF35" s="1429"/>
      <c r="AG35" s="1429"/>
      <c r="AH35" s="1505"/>
      <c r="AI35" s="1212"/>
      <c r="AJ35" s="1490"/>
      <c r="BM35" s="230">
        <v>14</v>
      </c>
    </row>
    <row r="36" spans="4:65" ht="14.65" customHeight="1">
      <c r="D36" s="2502"/>
      <c r="E36" s="2504"/>
      <c r="F36" s="2504"/>
      <c r="G36" s="2508"/>
      <c r="H36" s="1516"/>
      <c r="I36" s="2510"/>
      <c r="J36" s="2464"/>
      <c r="K36" s="1499"/>
      <c r="L36" s="2456"/>
      <c r="M36" s="2456"/>
      <c r="N36" s="1506"/>
      <c r="O36" s="2456"/>
      <c r="P36" s="2464"/>
      <c r="Q36" s="1507"/>
      <c r="R36" s="2456"/>
      <c r="S36" s="2456"/>
      <c r="T36" s="1508"/>
      <c r="U36" s="2456"/>
      <c r="V36" s="2464"/>
      <c r="W36" s="1509"/>
      <c r="X36" s="2456"/>
      <c r="Y36" s="2456"/>
      <c r="Z36" s="1506"/>
      <c r="AA36" s="2456"/>
      <c r="AB36" s="2464"/>
      <c r="AC36" s="1510"/>
      <c r="AD36" s="2456"/>
      <c r="AE36" s="2456"/>
      <c r="AF36" s="1511"/>
      <c r="AG36" s="1511"/>
      <c r="AH36" s="2513"/>
      <c r="AI36" s="2514"/>
      <c r="AJ36" s="1490"/>
      <c r="BM36" s="230">
        <v>14</v>
      </c>
    </row>
    <row r="37" spans="4:65" ht="14.65" customHeight="1">
      <c r="D37" s="2502"/>
      <c r="E37" s="2504"/>
      <c r="F37" s="2504"/>
      <c r="G37" s="2508"/>
      <c r="H37" s="1516"/>
      <c r="I37" s="2510"/>
      <c r="J37" s="2464"/>
      <c r="K37" s="1499"/>
      <c r="L37" s="2456"/>
      <c r="M37" s="2456"/>
      <c r="N37" s="1506"/>
      <c r="O37" s="2456"/>
      <c r="P37" s="2464"/>
      <c r="Q37" s="1507"/>
      <c r="R37" s="2456"/>
      <c r="S37" s="2456"/>
      <c r="T37" s="1508"/>
      <c r="U37" s="2456"/>
      <c r="V37" s="2464"/>
      <c r="W37" s="1509"/>
      <c r="X37" s="2456"/>
      <c r="Y37" s="2456"/>
      <c r="Z37" s="1428"/>
      <c r="AA37" s="1511"/>
      <c r="AB37" s="2513"/>
      <c r="AC37" s="2513"/>
      <c r="AD37" s="2513"/>
      <c r="AE37" s="2513"/>
      <c r="AF37" s="2513"/>
      <c r="AG37" s="2513"/>
      <c r="AH37" s="2513"/>
      <c r="AI37" s="2514"/>
      <c r="AJ37" s="1490"/>
      <c r="BM37" s="230">
        <v>14</v>
      </c>
    </row>
    <row r="38" spans="4:65" ht="14.65" customHeight="1">
      <c r="D38" s="2502"/>
      <c r="E38" s="2504"/>
      <c r="F38" s="2504"/>
      <c r="G38" s="2508"/>
      <c r="H38" s="1516"/>
      <c r="I38" s="2510"/>
      <c r="J38" s="2464"/>
      <c r="K38" s="1499"/>
      <c r="L38" s="2456"/>
      <c r="M38" s="2456"/>
      <c r="N38" s="1506"/>
      <c r="O38" s="2456"/>
      <c r="P38" s="2464"/>
      <c r="Q38" s="1507"/>
      <c r="R38" s="2456"/>
      <c r="S38" s="2456"/>
      <c r="T38" s="1512"/>
      <c r="U38" s="1513"/>
      <c r="V38" s="2513"/>
      <c r="W38" s="2513"/>
      <c r="X38" s="2513"/>
      <c r="Y38" s="2513"/>
      <c r="Z38" s="2513"/>
      <c r="AA38" s="2513"/>
      <c r="AB38" s="2513"/>
      <c r="AC38" s="2513"/>
      <c r="AD38" s="2513"/>
      <c r="AE38" s="2513"/>
      <c r="AF38" s="2513"/>
      <c r="AG38" s="2513"/>
      <c r="AH38" s="2513"/>
      <c r="AI38" s="2514"/>
      <c r="AJ38" s="1490"/>
      <c r="BM38" s="230">
        <v>14</v>
      </c>
    </row>
    <row r="39" spans="4:65" ht="11.45" customHeight="1">
      <c r="D39" s="2502"/>
      <c r="E39" s="2504"/>
      <c r="F39" s="2504"/>
      <c r="G39" s="2508"/>
      <c r="H39" s="1517"/>
      <c r="I39" s="2510"/>
      <c r="J39" s="2464"/>
      <c r="K39" s="1499"/>
      <c r="L39" s="2456"/>
      <c r="M39" s="2456"/>
      <c r="N39" s="1511"/>
      <c r="O39" s="1511"/>
      <c r="P39" s="2513"/>
      <c r="Q39" s="2513"/>
      <c r="R39" s="2513"/>
      <c r="S39" s="2513"/>
      <c r="T39" s="2513"/>
      <c r="U39" s="2513"/>
      <c r="V39" s="2513"/>
      <c r="W39" s="2513"/>
      <c r="X39" s="2513"/>
      <c r="Y39" s="2513"/>
      <c r="Z39" s="2513"/>
      <c r="AA39" s="2513"/>
      <c r="AB39" s="2513"/>
      <c r="AC39" s="2513"/>
      <c r="AD39" s="2513"/>
      <c r="AE39" s="2513"/>
      <c r="AF39" s="2513"/>
      <c r="AG39" s="2513"/>
      <c r="AH39" s="2513"/>
      <c r="AI39" s="2514"/>
      <c r="AJ39" s="1490"/>
      <c r="BM39" s="230">
        <v>11</v>
      </c>
    </row>
    <row r="40" spans="4:65" s="2325" customFormat="1" ht="11.45" customHeight="1">
      <c r="D40" s="2502"/>
      <c r="E40" s="2504"/>
      <c r="F40" s="2515"/>
      <c r="G40" s="2450"/>
      <c r="H40" s="1514"/>
      <c r="I40" s="1518"/>
      <c r="J40" s="2511"/>
      <c r="K40" s="2511"/>
      <c r="L40" s="2511"/>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2"/>
      <c r="AJ40" s="1490"/>
      <c r="AK40" s="243"/>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c r="BM40" s="147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398" customWidth="1"/>
    <col min="2" max="2" width="34.5703125" style="2398" customWidth="1"/>
    <col min="3" max="3" width="85" style="2398" customWidth="1"/>
    <col min="4" max="4" width="17" style="2398" customWidth="1"/>
    <col min="5" max="5" width="8" style="2398" customWidth="1"/>
    <col min="6" max="6" width="9.140625" style="2398" hidden="1"/>
  </cols>
  <sheetData>
    <row r="1" spans="1:6" ht="3" customHeight="1">
      <c r="F1" s="29" t="s">
        <v>14</v>
      </c>
    </row>
    <row r="2" spans="1:6" ht="22.5" customHeight="1">
      <c r="B2" s="2796" t="s">
        <v>2049</v>
      </c>
      <c r="C2" s="2796"/>
      <c r="D2" s="2796"/>
      <c r="E2" s="205"/>
      <c r="F2" s="29">
        <v>22</v>
      </c>
    </row>
    <row r="3" spans="1:6" ht="3" customHeight="1">
      <c r="F3" s="29">
        <v>3</v>
      </c>
    </row>
    <row r="4" spans="1:6" ht="23.25" customHeight="1">
      <c r="B4" s="1997" t="s">
        <v>2050</v>
      </c>
      <c r="C4" s="319" t="s">
        <v>2051</v>
      </c>
      <c r="D4" s="319" t="s">
        <v>2052</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398" customWidth="1"/>
    <col min="2" max="2" width="10" style="2398" customWidth="1"/>
    <col min="3" max="3" width="9.140625" style="2398"/>
    <col min="4" max="4" width="11.140625" style="2398" customWidth="1"/>
    <col min="5" max="5" width="16.5703125" style="2398" customWidth="1"/>
    <col min="6" max="6" width="16.28515625" style="2398" customWidth="1"/>
    <col min="7" max="7" width="19.140625" style="2398" customWidth="1"/>
    <col min="8" max="11" width="10" style="2398" customWidth="1"/>
    <col min="12" max="12" width="12.7109375" style="2398" customWidth="1"/>
    <col min="13" max="13" width="61.28515625" style="2398" customWidth="1"/>
    <col min="14" max="14" width="10" style="2398" customWidth="1"/>
    <col min="15" max="17" width="23.7109375" style="2398" customWidth="1"/>
    <col min="18" max="18" width="11.7109375" style="2398" customWidth="1"/>
    <col min="19" max="19" width="8.5703125" style="2398" customWidth="1"/>
    <col min="20" max="20" width="11.7109375" style="2398" customWidth="1"/>
    <col min="21" max="21" width="8.5703125" style="2398" customWidth="1"/>
    <col min="22" max="22" width="4.7109375" style="2398" customWidth="1"/>
    <col min="23" max="23" width="115.7109375" style="2398" customWidth="1"/>
    <col min="24" max="24" width="115.28515625" style="2398" customWidth="1"/>
    <col min="25" max="27" width="9.140625" style="2398"/>
    <col min="28" max="28" width="115.7109375" style="2398" customWidth="1"/>
    <col min="29" max="29" width="9.140625" style="2398"/>
    <col min="30" max="90" width="115.7109375" style="2398" customWidth="1"/>
    <col min="91" max="184" width="9.140625" style="2398"/>
  </cols>
  <sheetData>
    <row r="2" spans="1:80" s="2375" customFormat="1" ht="17.25" customHeight="1">
      <c r="A2" s="1729" t="s">
        <v>2053</v>
      </c>
    </row>
    <row r="4" spans="1:80" s="2374" customFormat="1" ht="15" customHeight="1">
      <c r="C4" s="1730"/>
      <c r="D4" s="53"/>
      <c r="E4" s="313"/>
    </row>
    <row r="6" spans="1:80" s="2375" customFormat="1" ht="17.25" customHeight="1">
      <c r="A6" s="1729" t="s">
        <v>2054</v>
      </c>
    </row>
    <row r="8" spans="1:80" s="2374" customFormat="1" ht="17.25" customHeight="1">
      <c r="C8" s="1731"/>
      <c r="D8" s="53"/>
      <c r="E8" s="54"/>
    </row>
    <row r="11" spans="1:80" s="2375" customFormat="1" ht="17.25" customHeight="1">
      <c r="A11" s="1729" t="s">
        <v>2055</v>
      </c>
    </row>
    <row r="13" spans="1:80" s="2331" customFormat="1" ht="15" customHeight="1">
      <c r="A13" s="2541">
        <v>1</v>
      </c>
      <c r="B13" s="1076"/>
      <c r="C13" s="731" t="s">
        <v>568</v>
      </c>
      <c r="D13" s="1732"/>
      <c r="E13" s="1719">
        <f>A13</f>
        <v>1</v>
      </c>
      <c r="F13" s="734"/>
      <c r="G13" s="476" t="str">
        <f>"Территория "&amp;E13</f>
        <v>Территория 1</v>
      </c>
      <c r="H13" s="722"/>
      <c r="I13" s="722"/>
      <c r="J13" s="719"/>
      <c r="K13" s="1540"/>
      <c r="L13" s="1540"/>
      <c r="M13" s="1540"/>
      <c r="N13" s="163"/>
      <c r="O13" s="1540"/>
      <c r="P13" s="162"/>
      <c r="Q13" s="162"/>
      <c r="R13" s="162"/>
      <c r="S13" s="162"/>
    </row>
    <row r="14" spans="1:80" s="2398" customFormat="1" ht="15" customHeight="1">
      <c r="A14" s="2541"/>
      <c r="B14" s="1076">
        <v>1</v>
      </c>
      <c r="C14" s="1076"/>
      <c r="D14" s="730"/>
      <c r="E14" s="1727" t="str">
        <f>A13&amp;"."&amp;B14</f>
        <v>1.1</v>
      </c>
      <c r="F14" s="733">
        <f>$F$20</f>
        <v>0</v>
      </c>
      <c r="G14" s="723"/>
      <c r="H14" s="723"/>
      <c r="I14" s="721"/>
      <c r="J14" s="1540"/>
      <c r="K14" s="1552"/>
      <c r="L14" s="1552"/>
      <c r="M14" s="1540" t="str">
        <f t="array" ref="M14">IF(ISERROR(MATCH(MID(N14,1,250),MID(note_ter,1,250),0)),"n","y")</f>
        <v>n</v>
      </c>
      <c r="N14" s="1552"/>
      <c r="O14" s="1540" t="str">
        <f>H14&amp;"("&amp;I14&amp;")"</f>
        <v>()</v>
      </c>
      <c r="P14" s="1076"/>
      <c r="Q14" s="1076"/>
      <c r="R14" s="356"/>
      <c r="S14" s="1076"/>
      <c r="T14" s="1076"/>
      <c r="U14" s="107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398" customFormat="1" ht="15" customHeight="1">
      <c r="A15" s="2541"/>
      <c r="B15" s="1076"/>
      <c r="C15" s="348"/>
      <c r="D15" s="731"/>
      <c r="E15" s="357"/>
      <c r="F15" s="114"/>
      <c r="G15" s="351" t="s">
        <v>102</v>
      </c>
      <c r="H15" s="124"/>
      <c r="I15" s="360"/>
      <c r="J15" s="1552"/>
      <c r="K15" s="1552"/>
      <c r="L15" s="1552"/>
      <c r="M15" s="1552"/>
      <c r="N15" s="1540"/>
      <c r="O15" s="1552"/>
      <c r="P15" s="1076"/>
      <c r="Q15" s="1076"/>
      <c r="R15" s="356"/>
      <c r="S15" s="1076"/>
      <c r="T15" s="1076"/>
      <c r="U15" s="107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375" customFormat="1" ht="17.25" customHeight="1">
      <c r="A17" s="1729" t="s">
        <v>2056</v>
      </c>
    </row>
    <row r="19" spans="1:80" s="2398" customFormat="1" ht="15" customHeight="1">
      <c r="A19" s="1794"/>
      <c r="B19" s="1282">
        <v>1</v>
      </c>
      <c r="C19" s="1282"/>
      <c r="D19" s="730" t="s">
        <v>568</v>
      </c>
      <c r="E19" s="1790"/>
      <c r="F19" s="1795">
        <f>$F$20</f>
        <v>0</v>
      </c>
      <c r="G19" s="1799"/>
      <c r="H19" s="1799"/>
      <c r="I19" s="1797"/>
      <c r="J19" s="1540"/>
      <c r="K19" s="1552"/>
      <c r="L19" s="1552"/>
      <c r="M19" s="1540" t="str">
        <f t="array" ref="M19">IF(ISERROR(MATCH(MID(N19,1,250),MID(note_ter,1,250),0)),"n","y")</f>
        <v>n</v>
      </c>
      <c r="N19" s="1552"/>
      <c r="O19" s="1540" t="str">
        <f>H19&amp;"("&amp;I19&amp;")"</f>
        <v>()</v>
      </c>
      <c r="P19" s="1282"/>
      <c r="Q19" s="1282"/>
      <c r="R19" s="356"/>
      <c r="S19" s="1282"/>
      <c r="T19" s="1282"/>
      <c r="U19" s="128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398" customFormat="1" ht="15" customHeight="1">
      <c r="A21" s="1729" t="s">
        <v>2057</v>
      </c>
      <c r="B21" s="1729"/>
      <c r="C21" s="1729"/>
      <c r="D21" s="1729"/>
      <c r="E21" s="1729"/>
      <c r="F21" s="1729"/>
      <c r="G21" s="1729"/>
      <c r="H21" s="1729"/>
      <c r="I21" s="1729"/>
      <c r="J21" s="1729"/>
      <c r="K21" s="1729"/>
      <c r="L21" s="1729"/>
      <c r="M21" s="1729"/>
      <c r="N21" s="1729"/>
      <c r="O21" s="1729"/>
      <c r="P21" s="1729"/>
      <c r="Q21" s="1729"/>
      <c r="R21" s="1729"/>
      <c r="S21" s="1729"/>
      <c r="T21" s="1729"/>
      <c r="U21" s="121"/>
      <c r="V21" s="1729"/>
      <c r="W21" s="1729"/>
    </row>
    <row r="22" spans="1:80" s="2398" customFormat="1" ht="15" customHeight="1">
      <c r="U22" s="122"/>
    </row>
    <row r="23" spans="1:80" s="2380" customFormat="1" ht="15" customHeight="1">
      <c r="A23" s="359"/>
      <c r="B23" s="359"/>
      <c r="C23" s="1643" t="s">
        <v>568</v>
      </c>
      <c r="D23" s="2446" t="s">
        <v>109</v>
      </c>
      <c r="E23" s="2447"/>
      <c r="F23" s="2445" t="s">
        <v>19</v>
      </c>
      <c r="G23" s="2816"/>
      <c r="H23" s="2435">
        <v>1</v>
      </c>
      <c r="I23" s="2818" t="str">
        <f>IF(U23="","",INDEX(TERRITORY_MR_LIST,MATCH(U23,TERRITORY_LIST_ID,0)))</f>
        <v/>
      </c>
      <c r="J23" s="2445" t="s">
        <v>19</v>
      </c>
      <c r="K23" s="762"/>
      <c r="L23" s="1696"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380" customFormat="1" ht="15" customHeight="1">
      <c r="A24" s="359"/>
      <c r="B24" s="359"/>
      <c r="C24" s="113"/>
      <c r="D24" s="2446"/>
      <c r="E24" s="2448"/>
      <c r="F24" s="2445"/>
      <c r="G24" s="2817"/>
      <c r="H24" s="2435"/>
      <c r="I24" s="2819"/>
      <c r="J24" s="2445"/>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380" customFormat="1" ht="15" customHeight="1">
      <c r="A25" s="359"/>
      <c r="B25" s="359"/>
      <c r="C25" s="113"/>
      <c r="D25" s="2446"/>
      <c r="E25" s="2449"/>
      <c r="F25" s="2445"/>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398" customFormat="1" ht="15" customHeight="1">
      <c r="U26" s="122"/>
    </row>
    <row r="27" spans="1:80" s="2398" customFormat="1" ht="15" customHeight="1">
      <c r="A27" s="1729" t="s">
        <v>2058</v>
      </c>
      <c r="B27" s="1729"/>
      <c r="C27" s="1729"/>
      <c r="D27" s="1729"/>
      <c r="E27" s="1729"/>
      <c r="F27" s="1729"/>
      <c r="G27" s="1729"/>
      <c r="H27" s="1729"/>
      <c r="I27" s="1729"/>
      <c r="J27" s="1729"/>
      <c r="K27" s="1729"/>
      <c r="L27" s="1729"/>
      <c r="M27" s="1729"/>
      <c r="N27" s="1729"/>
      <c r="O27" s="1729"/>
      <c r="P27" s="1729"/>
      <c r="Q27" s="1729"/>
      <c r="R27" s="1729"/>
      <c r="S27" s="1729"/>
      <c r="T27" s="1729"/>
      <c r="U27" s="121"/>
      <c r="V27" s="1729"/>
      <c r="W27" s="1729"/>
    </row>
    <row r="28" spans="1:80" s="2398" customFormat="1" ht="15" customHeight="1">
      <c r="U28" s="122"/>
    </row>
    <row r="29" spans="1:80" s="2380" customFormat="1" ht="15" customHeight="1">
      <c r="A29" s="359"/>
      <c r="B29" s="359"/>
      <c r="C29" s="113"/>
      <c r="D29" s="1733"/>
      <c r="E29" s="1733"/>
      <c r="F29" s="1733"/>
      <c r="G29" s="2820" t="s">
        <v>568</v>
      </c>
      <c r="H29" s="2416">
        <v>1</v>
      </c>
      <c r="I29" s="2821" t="str">
        <f>IF(U29="","",INDEX(TERRITORY_MR_LIST,MATCH(U29,TERRITORY_LIST_ID,0)))</f>
        <v/>
      </c>
      <c r="J29" s="2445" t="s">
        <v>19</v>
      </c>
      <c r="K29" s="762"/>
      <c r="L29" s="1696"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380" customFormat="1" ht="15" customHeight="1">
      <c r="A30" s="359"/>
      <c r="B30" s="359"/>
      <c r="C30" s="113"/>
      <c r="D30" s="1733"/>
      <c r="E30" s="1733"/>
      <c r="F30" s="1733"/>
      <c r="G30" s="2820"/>
      <c r="H30" s="2416"/>
      <c r="I30" s="2821"/>
      <c r="J30" s="2445"/>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398" customFormat="1" ht="15" customHeight="1">
      <c r="U31" s="122"/>
    </row>
    <row r="32" spans="1:80" s="2398" customFormat="1" ht="15" customHeight="1">
      <c r="A32" s="1729" t="s">
        <v>2059</v>
      </c>
      <c r="B32" s="1729"/>
      <c r="C32" s="1729"/>
      <c r="D32" s="1729"/>
      <c r="E32" s="1729"/>
      <c r="F32" s="1729"/>
      <c r="G32" s="1729"/>
      <c r="H32" s="1729"/>
      <c r="I32" s="1729"/>
      <c r="J32" s="1729"/>
      <c r="K32" s="1729"/>
      <c r="L32" s="1729"/>
      <c r="M32" s="1729"/>
      <c r="N32" s="1729"/>
      <c r="O32" s="1729"/>
      <c r="P32" s="1729"/>
      <c r="Q32" s="1729"/>
      <c r="R32" s="1729"/>
      <c r="S32" s="1729"/>
      <c r="T32" s="1729"/>
      <c r="U32" s="121"/>
      <c r="V32" s="1729"/>
      <c r="W32" s="1729"/>
    </row>
    <row r="33" spans="1:38" s="2398" customFormat="1" ht="15" customHeight="1">
      <c r="U33" s="122"/>
    </row>
    <row r="34" spans="1:38" s="2380" customFormat="1" ht="15" customHeight="1">
      <c r="A34" s="359"/>
      <c r="B34" s="359"/>
      <c r="C34" s="113"/>
      <c r="D34" s="1733"/>
      <c r="E34" s="1733"/>
      <c r="F34" s="1733"/>
      <c r="G34" s="1733"/>
      <c r="H34" s="1733"/>
      <c r="I34" s="1733"/>
      <c r="J34" s="1733"/>
      <c r="K34" s="1713" t="s">
        <v>568</v>
      </c>
      <c r="L34" s="1644"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398" customFormat="1" ht="15" customHeight="1">
      <c r="U35" s="122"/>
    </row>
    <row r="36" spans="1:38" s="2398" customFormat="1" ht="15" customHeight="1">
      <c r="U36" s="122"/>
    </row>
    <row r="37" spans="1:38" s="2375" customFormat="1" ht="11.25" customHeight="1">
      <c r="A37" s="1729" t="s">
        <v>2060</v>
      </c>
    </row>
    <row r="38" spans="1:38" ht="11.25" customHeight="1"/>
    <row r="39" spans="1:38" s="2329" customFormat="1" ht="22.5" customHeight="1">
      <c r="A39" s="1705"/>
      <c r="B39" s="393"/>
      <c r="C39" s="785"/>
      <c r="D39" s="376"/>
      <c r="E39" s="786"/>
      <c r="F39" s="1726"/>
      <c r="G39" s="1734"/>
      <c r="H39" s="411"/>
    </row>
    <row r="40" spans="1:38" ht="11.25" customHeight="1"/>
    <row r="41" spans="1:38" s="2375" customFormat="1" ht="11.25" customHeight="1">
      <c r="A41" s="1729" t="s">
        <v>2061</v>
      </c>
    </row>
    <row r="42" spans="1:38" ht="11.25" customHeight="1"/>
    <row r="43" spans="1:38" s="2329" customFormat="1" ht="22.5" customHeight="1">
      <c r="A43" s="393"/>
      <c r="B43" s="393"/>
      <c r="C43" s="393"/>
      <c r="D43" s="376"/>
      <c r="E43" s="786"/>
      <c r="F43" s="787"/>
      <c r="G43" s="1734"/>
      <c r="H43" s="411"/>
    </row>
    <row r="44" spans="1:38" ht="11.25" customHeight="1"/>
    <row r="45" spans="1:38" s="2375" customFormat="1" ht="11.25" customHeight="1">
      <c r="A45" s="1729" t="s">
        <v>2062</v>
      </c>
    </row>
    <row r="46" spans="1:38" ht="11.25" customHeight="1"/>
    <row r="47" spans="1:38" s="2329" customFormat="1" ht="24" customHeight="1">
      <c r="A47" s="2517" t="s">
        <v>312</v>
      </c>
      <c r="B47" s="438"/>
      <c r="C47" s="2528"/>
      <c r="D47" s="381" t="str">
        <f>A47</f>
        <v>5.1</v>
      </c>
      <c r="E47" s="378" t="s">
        <v>313</v>
      </c>
      <c r="F47" s="1885" t="s">
        <v>305</v>
      </c>
      <c r="G47" s="380" t="s">
        <v>314</v>
      </c>
      <c r="H47" s="411"/>
      <c r="I47" s="778"/>
    </row>
    <row r="48" spans="1:38" s="2329" customFormat="1" ht="22.5" customHeight="1">
      <c r="A48" s="2517"/>
      <c r="B48" s="438"/>
      <c r="C48" s="2528"/>
      <c r="D48" s="376" t="str">
        <f>D47&amp;".1"</f>
        <v>5.1.1</v>
      </c>
      <c r="E48" s="375" t="s">
        <v>315</v>
      </c>
      <c r="F48" s="1886" t="s">
        <v>22</v>
      </c>
      <c r="G48" s="410"/>
      <c r="H48" s="411"/>
      <c r="I48" s="778"/>
    </row>
    <row r="49" spans="1:45" s="2329" customFormat="1" ht="22.5" customHeight="1">
      <c r="A49" s="2517"/>
      <c r="B49" s="438"/>
      <c r="C49" s="2528"/>
      <c r="D49" s="376" t="str">
        <f>D47&amp;".2"</f>
        <v>5.1.2</v>
      </c>
      <c r="E49" s="375" t="s">
        <v>316</v>
      </c>
      <c r="F49" s="1647" t="s">
        <v>22</v>
      </c>
      <c r="G49" s="380" t="s">
        <v>317</v>
      </c>
      <c r="H49" s="411"/>
      <c r="I49" s="778"/>
    </row>
    <row r="50" spans="1:45" s="2329" customFormat="1" ht="22.5" customHeight="1">
      <c r="A50" s="2517"/>
      <c r="B50" s="438"/>
      <c r="C50" s="2528"/>
      <c r="D50" s="376" t="str">
        <f>D47&amp;".3"</f>
        <v>5.1.3</v>
      </c>
      <c r="E50" s="375" t="s">
        <v>318</v>
      </c>
      <c r="F50" s="1886" t="s">
        <v>22</v>
      </c>
      <c r="G50" s="410"/>
      <c r="H50" s="411"/>
      <c r="I50" s="778"/>
    </row>
    <row r="51" spans="1:45" s="2329" customFormat="1" ht="22.5" customHeight="1">
      <c r="A51" s="2517"/>
      <c r="B51" s="438"/>
      <c r="C51" s="2528"/>
      <c r="D51" s="376" t="str">
        <f>D47&amp;".4"</f>
        <v>5.1.4</v>
      </c>
      <c r="E51" s="375" t="s">
        <v>319</v>
      </c>
      <c r="F51" s="1886" t="s">
        <v>22</v>
      </c>
      <c r="G51" s="380" t="s">
        <v>320</v>
      </c>
      <c r="H51" s="411"/>
      <c r="I51" s="778"/>
    </row>
    <row r="54" spans="1:45" s="2375" customFormat="1" ht="17.25" customHeight="1">
      <c r="A54" s="1729" t="s">
        <v>2063</v>
      </c>
    </row>
    <row r="56" spans="1:45" s="2333" customFormat="1" ht="18.75" customHeight="1">
      <c r="A56" s="29"/>
      <c r="B56" s="1735"/>
      <c r="C56" s="1735"/>
      <c r="D56" s="1736"/>
      <c r="E56" s="1723"/>
      <c r="F56" s="794">
        <v>13</v>
      </c>
      <c r="G56" s="793"/>
      <c r="H56" s="723"/>
      <c r="I56" s="721"/>
      <c r="J56" s="456" t="s">
        <v>62</v>
      </c>
      <c r="K56" s="1737" t="s">
        <v>22</v>
      </c>
      <c r="L56" s="29"/>
      <c r="M56" s="1552"/>
      <c r="N56" s="1552"/>
      <c r="O56" s="1552"/>
      <c r="P56" s="452" t="s">
        <v>391</v>
      </c>
      <c r="Q56" s="452" t="s">
        <v>392</v>
      </c>
      <c r="R56" s="453" t="s">
        <v>393</v>
      </c>
      <c r="S56" s="1552" t="s">
        <v>394</v>
      </c>
      <c r="T56" s="1552"/>
      <c r="U56" s="1552"/>
      <c r="V56" s="1552"/>
    </row>
    <row r="58" spans="1:45" s="2375" customFormat="1" ht="11.25" customHeight="1">
      <c r="A58" s="1729" t="s">
        <v>2064</v>
      </c>
    </row>
    <row r="60" spans="1:45" s="2360" customFormat="1" ht="14.25" customHeight="1">
      <c r="C60" s="1604"/>
      <c r="D60" s="1781"/>
      <c r="E60" s="1691" t="s">
        <v>22</v>
      </c>
      <c r="F60" s="1780"/>
      <c r="G60" s="782"/>
      <c r="H60" s="1692"/>
      <c r="I60" s="1692"/>
      <c r="J60" s="369"/>
      <c r="K60" s="1775"/>
      <c r="L60" s="368"/>
      <c r="M60" s="1775"/>
      <c r="N60" s="369"/>
      <c r="O60" s="1775"/>
      <c r="P60" s="369"/>
      <c r="Q60" s="1775"/>
      <c r="R60" s="369"/>
      <c r="S60" s="780"/>
      <c r="T60" s="1692"/>
      <c r="U60" s="369"/>
      <c r="V60" s="369"/>
      <c r="W60" s="1779"/>
      <c r="X60" s="1692"/>
      <c r="Y60" s="369"/>
      <c r="Z60" s="369"/>
      <c r="AA60" s="1779"/>
      <c r="AB60" s="1692"/>
      <c r="AC60" s="369"/>
      <c r="AD60" s="1779"/>
      <c r="AE60" s="29"/>
      <c r="AF60" s="29"/>
      <c r="AG60" s="29"/>
      <c r="AH60" s="29"/>
      <c r="AJ60" s="1552"/>
      <c r="AK60" s="1552"/>
      <c r="AL60" s="1552"/>
      <c r="AM60" s="1552"/>
      <c r="AN60" s="1552"/>
      <c r="AO60" s="1552"/>
      <c r="AP60" s="1540" t="s">
        <v>380</v>
      </c>
      <c r="AQ60" s="1540" t="s">
        <v>380</v>
      </c>
      <c r="AR60" s="1552"/>
      <c r="AS60" s="1552"/>
    </row>
    <row r="62" spans="1:45" s="2375" customFormat="1" ht="11.25" customHeight="1">
      <c r="A62" s="1729" t="s">
        <v>2065</v>
      </c>
    </row>
    <row r="64" spans="1:45" s="2376" customFormat="1" ht="15" customHeight="1">
      <c r="A64" s="83" t="s">
        <v>90</v>
      </c>
      <c r="B64" s="65" t="s">
        <v>22</v>
      </c>
      <c r="C64" s="1738"/>
      <c r="D64" s="68"/>
      <c r="E64" s="317"/>
      <c r="F64" s="317"/>
      <c r="G64" s="1717"/>
      <c r="H64" s="1737"/>
      <c r="I64" s="1718"/>
      <c r="K64" s="209"/>
      <c r="L64" s="210"/>
    </row>
    <row r="66" spans="1:30" s="2375" customFormat="1" ht="11.25" customHeight="1">
      <c r="A66" s="1729" t="s">
        <v>2066</v>
      </c>
    </row>
    <row r="68" spans="1:30" s="2360" customFormat="1" ht="14.25" customHeight="1">
      <c r="A68" s="280"/>
      <c r="B68" s="1076"/>
      <c r="C68" s="312"/>
      <c r="D68" s="1724"/>
      <c r="E68" s="811"/>
      <c r="F68" s="1737"/>
      <c r="G68" s="29"/>
      <c r="I68" s="1540"/>
      <c r="J68" s="1540"/>
    </row>
    <row r="70" spans="1:30" s="2375" customFormat="1" ht="11.25" customHeight="1">
      <c r="A70" s="1729" t="s">
        <v>2067</v>
      </c>
    </row>
    <row r="72" spans="1:30" s="2360" customFormat="1" ht="27" customHeight="1">
      <c r="A72" s="1082"/>
      <c r="B72" s="1082"/>
      <c r="C72" s="1082"/>
      <c r="D72" s="1076"/>
      <c r="E72" s="1739"/>
      <c r="F72" s="2680"/>
      <c r="G72" s="2681"/>
      <c r="H72" s="2682" t="s">
        <v>62</v>
      </c>
      <c r="I72" s="2684"/>
      <c r="J72" s="2686"/>
      <c r="K72" s="2688"/>
      <c r="L72" s="2689"/>
      <c r="M72" s="2689"/>
      <c r="N72" s="2693"/>
      <c r="O72" s="2693"/>
      <c r="P72" s="2694" t="e">
        <f>DATEDIF(DATEVALUE(N72),DATEVALUE(O72),"y")&amp;"г. "&amp;DATEDIF(DATEVALUE(N72),DATEVALUE(O72),"ym")&amp;"мес. "&amp;DATEVALUE(O72)-DATE(YEAR(DATEVALUE(O72)),MONTH(DATEVALUE(O72)),1)&amp;"дн. "</f>
        <v>#VALUE!</v>
      </c>
      <c r="Q72" s="2690"/>
      <c r="R72" s="2690"/>
      <c r="S72" s="2690"/>
      <c r="T72" s="2686"/>
      <c r="U72" s="2690"/>
      <c r="V72" s="2690"/>
      <c r="W72" s="2690"/>
      <c r="X72" s="2686"/>
      <c r="Y72" s="2691" t="s">
        <v>62</v>
      </c>
      <c r="Z72" s="1722"/>
      <c r="AA72" s="1706">
        <v>1</v>
      </c>
      <c r="AB72" s="1158"/>
      <c r="AD72" s="1552" t="s">
        <v>2068</v>
      </c>
    </row>
    <row r="73" spans="1:30" s="2360" customFormat="1" ht="10.5" customHeight="1">
      <c r="A73" s="1082"/>
      <c r="B73" s="1082"/>
      <c r="C73" s="1082"/>
      <c r="D73" s="1076"/>
      <c r="E73" s="872"/>
      <c r="F73" s="2680"/>
      <c r="G73" s="2681"/>
      <c r="H73" s="2683"/>
      <c r="I73" s="2685"/>
      <c r="J73" s="2687"/>
      <c r="K73" s="2688"/>
      <c r="L73" s="2689"/>
      <c r="M73" s="2689"/>
      <c r="N73" s="2693"/>
      <c r="O73" s="2693"/>
      <c r="P73" s="2694"/>
      <c r="Q73" s="2690"/>
      <c r="R73" s="2690"/>
      <c r="S73" s="2690"/>
      <c r="T73" s="2687"/>
      <c r="U73" s="2690"/>
      <c r="V73" s="2690"/>
      <c r="W73" s="2690"/>
      <c r="X73" s="2687"/>
      <c r="Y73" s="2692"/>
      <c r="Z73" s="284"/>
      <c r="AA73" s="508"/>
      <c r="AB73" s="588" t="s">
        <v>1103</v>
      </c>
    </row>
    <row r="75" spans="1:30" s="2375" customFormat="1" ht="11.25" customHeight="1">
      <c r="A75" s="1729" t="s">
        <v>2069</v>
      </c>
    </row>
    <row r="77" spans="1:30" s="2360" customFormat="1" ht="27" customHeight="1">
      <c r="A77" s="1082"/>
      <c r="B77" s="1082"/>
      <c r="C77" s="1082"/>
      <c r="D77" s="1076"/>
      <c r="E77" s="1739"/>
      <c r="F77" s="1711"/>
      <c r="G77" s="1662"/>
      <c r="H77" s="1663"/>
      <c r="I77" s="1664"/>
      <c r="J77" s="1665"/>
      <c r="K77" s="1666"/>
      <c r="L77" s="1667"/>
      <c r="M77" s="1667"/>
      <c r="N77" s="1668"/>
      <c r="O77" s="1668"/>
      <c r="P77" s="1669"/>
      <c r="Q77" s="1670"/>
      <c r="R77" s="1670"/>
      <c r="S77" s="1670"/>
      <c r="T77" s="1665"/>
      <c r="U77" s="1670"/>
      <c r="V77" s="1670"/>
      <c r="W77" s="1670"/>
      <c r="X77" s="1665"/>
      <c r="Y77" s="1663"/>
      <c r="Z77" s="1722"/>
      <c r="AA77" s="1706">
        <v>1</v>
      </c>
      <c r="AB77" s="1158"/>
      <c r="AD77" s="1552" t="s">
        <v>2068</v>
      </c>
    </row>
    <row r="79" spans="1:30" s="2375" customFormat="1" ht="11.25" customHeight="1">
      <c r="A79" s="1729" t="s">
        <v>2070</v>
      </c>
    </row>
    <row r="80" spans="1:30" ht="17.25" customHeight="1"/>
    <row r="81" spans="1:58" s="2360" customFormat="1" ht="21" customHeight="1">
      <c r="A81" s="1083"/>
      <c r="B81" s="1082"/>
      <c r="C81" s="1082"/>
      <c r="D81" s="1076"/>
      <c r="E81" s="1086"/>
      <c r="F81" s="1039" t="e">
        <f>INDEX(IP_MAIN_LIST_NAME_IP,MATCH(A81,IP_MAIN_LIST_IP_ID,0))&amp;" ("&amp;INDEX(IP_MAIN_START_DATE,MATCH(A81,IP_MAIN_LIST_IP_ID,0))&amp;"-"&amp;INDEX(IP_MAIN_END_DATE,MATCH(A81,IP_MAIN_LIST_IP_ID,0))&amp;")"</f>
        <v>#N/A</v>
      </c>
      <c r="G81" s="1040"/>
      <c r="H81" s="1040"/>
      <c r="I81" s="1101"/>
      <c r="J81" s="1101"/>
      <c r="K81" s="1102"/>
      <c r="L81" s="1102"/>
      <c r="M81" s="1102"/>
      <c r="N81" s="1103"/>
      <c r="O81" s="1103"/>
      <c r="P81" s="1103"/>
      <c r="Q81" s="1103"/>
      <c r="R81" s="1103"/>
      <c r="S81" s="1103"/>
      <c r="T81" s="1103"/>
      <c r="U81" s="1103"/>
      <c r="V81" s="1103"/>
      <c r="W81" s="1103"/>
      <c r="X81" s="1103"/>
      <c r="Y81" s="1103"/>
      <c r="Z81" s="1103"/>
      <c r="AA81" s="1103"/>
      <c r="AB81" s="1103"/>
      <c r="AC81" s="1103"/>
      <c r="AD81" s="1103"/>
      <c r="AE81" s="1104"/>
      <c r="AF81" s="1102"/>
      <c r="AG81" s="1102"/>
      <c r="AH81" s="1102"/>
      <c r="AI81" s="1102"/>
      <c r="AJ81" s="1102"/>
      <c r="AK81" s="1102"/>
      <c r="AL81" s="1897"/>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360" customFormat="1" ht="0.75" customHeight="1">
      <c r="A82" s="1082"/>
      <c r="B82" s="1082"/>
      <c r="C82" s="1082"/>
      <c r="D82" s="1076"/>
      <c r="E82" s="1086"/>
      <c r="F82" s="2709"/>
      <c r="G82" s="2706"/>
      <c r="H82" s="2713" t="s">
        <v>375</v>
      </c>
      <c r="I82" s="2714"/>
      <c r="J82" s="2705"/>
      <c r="K82" s="2705"/>
      <c r="L82" s="2707"/>
      <c r="M82" s="2560"/>
      <c r="N82" s="1945"/>
      <c r="O82" s="1944"/>
      <c r="P82" s="1945"/>
      <c r="Q82" s="1945"/>
      <c r="R82" s="1945"/>
      <c r="S82" s="1945"/>
      <c r="T82" s="1945"/>
      <c r="U82" s="1945"/>
      <c r="V82" s="1945"/>
      <c r="W82" s="1945"/>
      <c r="X82" s="1945"/>
      <c r="Y82" s="1945"/>
      <c r="Z82" s="1945"/>
      <c r="AA82" s="1945"/>
      <c r="AB82" s="1945"/>
      <c r="AC82" s="1945"/>
      <c r="AD82" s="1945"/>
      <c r="AE82" s="1945"/>
      <c r="AF82" s="2712"/>
      <c r="AG82" s="2707"/>
      <c r="AH82" s="2707"/>
      <c r="AI82" s="2712"/>
      <c r="AJ82" s="2707"/>
      <c r="AK82" s="2707"/>
      <c r="AL82" s="1897"/>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360" customFormat="1" ht="0.75" customHeight="1">
      <c r="A83" s="1082"/>
      <c r="B83" s="1082"/>
      <c r="C83" s="1082"/>
      <c r="D83" s="1076"/>
      <c r="E83" s="1086"/>
      <c r="F83" s="2709"/>
      <c r="G83" s="2706"/>
      <c r="H83" s="2713"/>
      <c r="I83" s="2714"/>
      <c r="J83" s="2705"/>
      <c r="K83" s="2705"/>
      <c r="L83" s="2707"/>
      <c r="M83" s="2560"/>
      <c r="N83" s="2715"/>
      <c r="O83" s="2716"/>
      <c r="P83" s="2702"/>
      <c r="Q83" s="2705"/>
      <c r="R83" s="2705"/>
      <c r="S83" s="2705"/>
      <c r="T83" s="2705"/>
      <c r="U83" s="2705"/>
      <c r="V83" s="2705"/>
      <c r="W83" s="2705"/>
      <c r="X83" s="2705"/>
      <c r="Y83" s="2705"/>
      <c r="Z83" s="1946"/>
      <c r="AA83" s="1947"/>
      <c r="AB83" s="1947"/>
      <c r="AC83" s="1948"/>
      <c r="AD83" s="1948"/>
      <c r="AE83" s="1949"/>
      <c r="AF83" s="2712"/>
      <c r="AG83" s="2707"/>
      <c r="AH83" s="2707"/>
      <c r="AI83" s="2712"/>
      <c r="AJ83" s="2707"/>
      <c r="AK83" s="2707"/>
      <c r="AL83" s="1897"/>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360" customFormat="1" ht="0.75" customHeight="1">
      <c r="A84" s="1082"/>
      <c r="B84" s="1082"/>
      <c r="C84" s="1082"/>
      <c r="D84" s="1076"/>
      <c r="E84" s="1086"/>
      <c r="F84" s="2709"/>
      <c r="G84" s="2706"/>
      <c r="H84" s="2713"/>
      <c r="I84" s="2714"/>
      <c r="J84" s="2705"/>
      <c r="K84" s="2705"/>
      <c r="L84" s="2707"/>
      <c r="M84" s="2560"/>
      <c r="N84" s="2715"/>
      <c r="O84" s="2716"/>
      <c r="P84" s="2703"/>
      <c r="Q84" s="2705"/>
      <c r="R84" s="2705"/>
      <c r="S84" s="2705"/>
      <c r="T84" s="2705"/>
      <c r="U84" s="2705"/>
      <c r="V84" s="2705"/>
      <c r="W84" s="2705"/>
      <c r="X84" s="2705"/>
      <c r="Y84" s="2705"/>
      <c r="Z84" s="1950"/>
      <c r="AA84" s="1951"/>
      <c r="AB84" s="1952"/>
      <c r="AC84" s="1953"/>
      <c r="AD84" s="1952"/>
      <c r="AE84" s="1953"/>
      <c r="AF84" s="2712"/>
      <c r="AG84" s="2707"/>
      <c r="AH84" s="2707"/>
      <c r="AI84" s="2712"/>
      <c r="AJ84" s="2707"/>
      <c r="AK84" s="2707"/>
      <c r="AL84" s="1897"/>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360" customFormat="1" ht="0.75" customHeight="1">
      <c r="A85" s="1082"/>
      <c r="B85" s="1082"/>
      <c r="C85" s="1082"/>
      <c r="D85" s="1076"/>
      <c r="E85" s="1086"/>
      <c r="F85" s="2709"/>
      <c r="G85" s="2706"/>
      <c r="H85" s="2713"/>
      <c r="I85" s="2714"/>
      <c r="J85" s="2705"/>
      <c r="K85" s="2705"/>
      <c r="L85" s="2707"/>
      <c r="M85" s="2560"/>
      <c r="N85" s="2715"/>
      <c r="O85" s="2716"/>
      <c r="P85" s="2704"/>
      <c r="Q85" s="2705"/>
      <c r="R85" s="2705"/>
      <c r="S85" s="2705"/>
      <c r="T85" s="2705"/>
      <c r="U85" s="2705"/>
      <c r="V85" s="2705"/>
      <c r="W85" s="2705"/>
      <c r="X85" s="2705"/>
      <c r="Y85" s="2705"/>
      <c r="Z85" s="1946"/>
      <c r="AA85" s="1947"/>
      <c r="AB85" s="1954"/>
      <c r="AC85" s="1948"/>
      <c r="AD85" s="1948"/>
      <c r="AE85" s="1955"/>
      <c r="AF85" s="2712"/>
      <c r="AG85" s="2707"/>
      <c r="AH85" s="2707"/>
      <c r="AI85" s="2712"/>
      <c r="AJ85" s="2707"/>
      <c r="AK85" s="2707"/>
      <c r="AL85" s="1897"/>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360" customFormat="1" ht="0.75" customHeight="1">
      <c r="A86" s="1082"/>
      <c r="B86" s="1082"/>
      <c r="C86" s="1082"/>
      <c r="D86" s="1076"/>
      <c r="E86" s="1086"/>
      <c r="F86" s="2709"/>
      <c r="G86" s="2706"/>
      <c r="H86" s="2713"/>
      <c r="I86" s="2714"/>
      <c r="J86" s="2705"/>
      <c r="K86" s="2705"/>
      <c r="L86" s="2707"/>
      <c r="M86" s="2560"/>
      <c r="N86" s="1947"/>
      <c r="O86" s="1947"/>
      <c r="P86" s="1954"/>
      <c r="Q86" s="1947"/>
      <c r="R86" s="1947"/>
      <c r="S86" s="1947"/>
      <c r="T86" s="1947"/>
      <c r="U86" s="1947"/>
      <c r="V86" s="1947"/>
      <c r="W86" s="1947"/>
      <c r="X86" s="1947"/>
      <c r="Y86" s="1947"/>
      <c r="Z86" s="1947"/>
      <c r="AA86" s="1947"/>
      <c r="AB86" s="1947"/>
      <c r="AC86" s="1947"/>
      <c r="AD86" s="1947"/>
      <c r="AE86" s="1956"/>
      <c r="AF86" s="2712"/>
      <c r="AG86" s="2707"/>
      <c r="AH86" s="2707"/>
      <c r="AI86" s="2712"/>
      <c r="AJ86" s="2707"/>
      <c r="AK86" s="2707"/>
      <c r="AL86" s="1897"/>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360" customFormat="1" ht="12" customHeight="1">
      <c r="A87" s="1082"/>
      <c r="B87" s="1082"/>
      <c r="C87" s="1082"/>
      <c r="D87" s="1076"/>
      <c r="E87" s="1086"/>
      <c r="F87" s="2711"/>
      <c r="G87" s="1106"/>
      <c r="H87" s="1106"/>
      <c r="I87" s="2708" t="s">
        <v>1151</v>
      </c>
      <c r="J87" s="2708"/>
      <c r="K87" s="2708"/>
      <c r="L87" s="1089"/>
      <c r="M87" s="1089"/>
      <c r="N87" s="1090"/>
      <c r="O87" s="1090"/>
      <c r="P87" s="1090"/>
      <c r="Q87" s="1090"/>
      <c r="R87" s="1090"/>
      <c r="S87" s="1090"/>
      <c r="T87" s="1090"/>
      <c r="U87" s="1090"/>
      <c r="V87" s="1090"/>
      <c r="W87" s="1090"/>
      <c r="X87" s="1090"/>
      <c r="Y87" s="1090"/>
      <c r="Z87" s="1090"/>
      <c r="AA87" s="1090"/>
      <c r="AB87" s="1090"/>
      <c r="AC87" s="1090"/>
      <c r="AD87" s="1090"/>
      <c r="AE87" s="1090"/>
      <c r="AF87" s="1090"/>
      <c r="AG87" s="1089"/>
      <c r="AH87" s="1089"/>
      <c r="AI87" s="1090"/>
      <c r="AJ87" s="1089"/>
      <c r="AK87" s="1090"/>
      <c r="AL87" s="1897"/>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375" customFormat="1" ht="11.25" customHeight="1">
      <c r="A89" s="1729" t="s">
        <v>2071</v>
      </c>
    </row>
    <row r="91" spans="1:58" s="2360" customFormat="1" ht="11.25" customHeight="1">
      <c r="A91" s="1082"/>
      <c r="B91" s="1082"/>
      <c r="C91" s="1082"/>
      <c r="D91" s="1076"/>
      <c r="E91" s="1086"/>
      <c r="F91" s="1741"/>
      <c r="G91" s="1742"/>
      <c r="H91" s="1742"/>
      <c r="I91" s="1679"/>
      <c r="J91" s="1679"/>
      <c r="K91" s="1743"/>
      <c r="L91" s="1679"/>
      <c r="M91" s="1742"/>
      <c r="N91" s="2722"/>
      <c r="O91" s="2797">
        <v>1</v>
      </c>
      <c r="P91" s="2724" t="s">
        <v>19</v>
      </c>
      <c r="Q91" s="2678" t="s">
        <v>22</v>
      </c>
      <c r="R91" s="2678" t="s">
        <v>22</v>
      </c>
      <c r="S91" s="2678" t="s">
        <v>22</v>
      </c>
      <c r="T91" s="2678" t="s">
        <v>22</v>
      </c>
      <c r="U91" s="2678" t="s">
        <v>22</v>
      </c>
      <c r="V91" s="2678" t="s">
        <v>22</v>
      </c>
      <c r="W91" s="2678" t="s">
        <v>22</v>
      </c>
      <c r="X91" s="2678" t="s">
        <v>22</v>
      </c>
      <c r="Y91" s="2678"/>
      <c r="Z91" s="1091"/>
      <c r="AA91" s="1092"/>
      <c r="AB91" s="1092"/>
      <c r="AC91" s="1096"/>
      <c r="AD91" s="1096"/>
      <c r="AE91" s="1096"/>
      <c r="AF91" s="1744"/>
      <c r="AG91" s="1674"/>
      <c r="AH91" s="1674"/>
      <c r="AI91" s="1744"/>
      <c r="AJ91" s="1674"/>
      <c r="AK91" s="1896"/>
      <c r="AL91" s="1897"/>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360" customFormat="1" ht="11.25" customHeight="1">
      <c r="A92" s="1082"/>
      <c r="B92" s="1082"/>
      <c r="C92" s="1082"/>
      <c r="D92" s="1076"/>
      <c r="E92" s="1086"/>
      <c r="F92" s="1741"/>
      <c r="G92" s="1742"/>
      <c r="H92" s="1742"/>
      <c r="I92" s="1680"/>
      <c r="J92" s="1680"/>
      <c r="K92" s="1743"/>
      <c r="L92" s="1680"/>
      <c r="M92" s="1742"/>
      <c r="N92" s="2722"/>
      <c r="O92" s="2797"/>
      <c r="P92" s="2725"/>
      <c r="Q92" s="2678"/>
      <c r="R92" s="2678"/>
      <c r="S92" s="2727"/>
      <c r="T92" s="2678"/>
      <c r="U92" s="2678"/>
      <c r="V92" s="2678"/>
      <c r="W92" s="2678"/>
      <c r="X92" s="2678"/>
      <c r="Y92" s="2678"/>
      <c r="Z92" s="1740"/>
      <c r="AA92" s="1708">
        <v>1</v>
      </c>
      <c r="AB92" s="1095"/>
      <c r="AC92" s="1085"/>
      <c r="AD92" s="1095">
        <f>AB92</f>
        <v>0</v>
      </c>
      <c r="AE92" s="660"/>
      <c r="AF92" s="1743"/>
      <c r="AG92" s="1674"/>
      <c r="AH92" s="1674"/>
      <c r="AI92" s="1743"/>
      <c r="AJ92" s="1674"/>
      <c r="AK92" s="1896"/>
      <c r="AL92" s="1897"/>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360" customFormat="1" ht="11.25" customHeight="1">
      <c r="A93" s="1082"/>
      <c r="B93" s="1082"/>
      <c r="C93" s="1082"/>
      <c r="D93" s="1076"/>
      <c r="E93" s="1086"/>
      <c r="F93" s="1741"/>
      <c r="G93" s="1742"/>
      <c r="H93" s="1742"/>
      <c r="I93" s="1681"/>
      <c r="J93" s="1681"/>
      <c r="K93" s="1743"/>
      <c r="L93" s="1681"/>
      <c r="M93" s="1742"/>
      <c r="N93" s="2722"/>
      <c r="O93" s="2797"/>
      <c r="P93" s="2726"/>
      <c r="Q93" s="2678"/>
      <c r="R93" s="2678"/>
      <c r="S93" s="2727"/>
      <c r="T93" s="2678"/>
      <c r="U93" s="2678"/>
      <c r="V93" s="2678"/>
      <c r="W93" s="2678"/>
      <c r="X93" s="2678"/>
      <c r="Y93" s="2678"/>
      <c r="Z93" s="1091"/>
      <c r="AA93" s="1092"/>
      <c r="AB93" s="1157" t="s">
        <v>1145</v>
      </c>
      <c r="AC93" s="1096"/>
      <c r="AD93" s="1096"/>
      <c r="AE93" s="1096"/>
      <c r="AF93" s="1745"/>
      <c r="AG93" s="1674"/>
      <c r="AH93" s="1674"/>
      <c r="AI93" s="1745"/>
      <c r="AJ93" s="1674"/>
      <c r="AK93" s="1896"/>
      <c r="AL93" s="1897"/>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375" customFormat="1" ht="11.25" customHeight="1">
      <c r="A95" s="1729" t="s">
        <v>2072</v>
      </c>
    </row>
    <row r="97" spans="1:184" s="2360" customFormat="1" ht="11.25" customHeight="1">
      <c r="A97" s="1082"/>
      <c r="B97" s="1082"/>
      <c r="C97" s="1082"/>
      <c r="D97" s="1076"/>
      <c r="E97" s="1086"/>
      <c r="F97" s="1742"/>
      <c r="G97" s="1742"/>
      <c r="H97" s="1742"/>
      <c r="I97" s="1742"/>
      <c r="J97" s="1742"/>
      <c r="K97" s="1742"/>
      <c r="L97" s="1742"/>
      <c r="M97" s="1742"/>
      <c r="N97" s="1742"/>
      <c r="O97" s="1742"/>
      <c r="P97" s="1742"/>
      <c r="Q97" s="1742"/>
      <c r="R97" s="1742"/>
      <c r="S97" s="1742"/>
      <c r="T97" s="1742"/>
      <c r="U97" s="1742"/>
      <c r="V97" s="1742"/>
      <c r="W97" s="1742"/>
      <c r="X97" s="1742"/>
      <c r="Y97" s="1742"/>
      <c r="Z97" s="1746"/>
      <c r="AA97" s="1728">
        <v>1</v>
      </c>
      <c r="AB97" s="1095"/>
      <c r="AC97" s="1085"/>
      <c r="AD97" s="1095">
        <f>AB97</f>
        <v>0</v>
      </c>
      <c r="AE97" s="1085"/>
      <c r="AF97" s="1743"/>
      <c r="AG97" s="1674"/>
      <c r="AH97" s="1674"/>
      <c r="AI97" s="1743"/>
      <c r="AJ97" s="1674"/>
      <c r="AK97" s="1896"/>
      <c r="AL97" s="1897"/>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375" customFormat="1" ht="11.25" customHeight="1">
      <c r="A99" s="1729" t="s">
        <v>2073</v>
      </c>
    </row>
    <row r="101" spans="1:184" s="2360" customFormat="1" ht="11.25" customHeight="1">
      <c r="A101" s="1082"/>
      <c r="B101" s="1082"/>
      <c r="C101" s="1082"/>
      <c r="D101" s="1076"/>
      <c r="E101" s="1086"/>
      <c r="F101" s="1741"/>
      <c r="G101" s="1742"/>
      <c r="H101" s="2706" t="s">
        <v>109</v>
      </c>
      <c r="I101" s="2717"/>
      <c r="J101" s="2718"/>
      <c r="K101" s="2719"/>
      <c r="L101" s="2445" t="s">
        <v>19</v>
      </c>
      <c r="M101" s="2446"/>
      <c r="N101" s="1895"/>
      <c r="O101" s="1093" t="s">
        <v>375</v>
      </c>
      <c r="P101" s="1094"/>
      <c r="Q101" s="1094"/>
      <c r="R101" s="1094"/>
      <c r="S101" s="1094"/>
      <c r="T101" s="1094"/>
      <c r="U101" s="1094"/>
      <c r="V101" s="1094"/>
      <c r="W101" s="1094"/>
      <c r="X101" s="1094"/>
      <c r="Y101" s="1094"/>
      <c r="Z101" s="1094"/>
      <c r="AA101" s="1094"/>
      <c r="AB101" s="1094"/>
      <c r="AC101" s="1094"/>
      <c r="AD101" s="1094"/>
      <c r="AE101" s="1094"/>
      <c r="AF101" s="2720"/>
      <c r="AG101" s="2721"/>
      <c r="AH101" s="2721"/>
      <c r="AI101" s="2720"/>
      <c r="AJ101" s="2721"/>
      <c r="AK101" s="2721"/>
      <c r="AL101" s="1897"/>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360" customFormat="1" ht="11.25" customHeight="1">
      <c r="A102" s="1082"/>
      <c r="B102" s="1082"/>
      <c r="C102" s="1082"/>
      <c r="D102" s="1076"/>
      <c r="E102" s="1086"/>
      <c r="F102" s="1741"/>
      <c r="G102" s="1742"/>
      <c r="H102" s="2706"/>
      <c r="I102" s="2717"/>
      <c r="J102" s="2718"/>
      <c r="K102" s="2719"/>
      <c r="L102" s="2445"/>
      <c r="M102" s="2446"/>
      <c r="N102" s="2722"/>
      <c r="O102" s="2723">
        <v>1</v>
      </c>
      <c r="P102" s="2724" t="s">
        <v>19</v>
      </c>
      <c r="Q102" s="2678" t="s">
        <v>22</v>
      </c>
      <c r="R102" s="2678" t="s">
        <v>22</v>
      </c>
      <c r="S102" s="2678" t="s">
        <v>22</v>
      </c>
      <c r="T102" s="2678" t="s">
        <v>22</v>
      </c>
      <c r="U102" s="2678" t="s">
        <v>22</v>
      </c>
      <c r="V102" s="2678" t="s">
        <v>22</v>
      </c>
      <c r="W102" s="2678" t="s">
        <v>22</v>
      </c>
      <c r="X102" s="2678" t="s">
        <v>22</v>
      </c>
      <c r="Y102" s="2678"/>
      <c r="Z102" s="1091"/>
      <c r="AA102" s="1092"/>
      <c r="AB102" s="1092"/>
      <c r="AC102" s="1096"/>
      <c r="AD102" s="1096"/>
      <c r="AE102" s="1097"/>
      <c r="AF102" s="2720"/>
      <c r="AG102" s="2721"/>
      <c r="AH102" s="2721"/>
      <c r="AI102" s="2720"/>
      <c r="AJ102" s="2721"/>
      <c r="AK102" s="2721"/>
      <c r="AL102" s="1897"/>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360" customFormat="1" ht="11.25" customHeight="1">
      <c r="A103" s="1082"/>
      <c r="B103" s="1082"/>
      <c r="C103" s="1082"/>
      <c r="D103" s="1076"/>
      <c r="E103" s="1086"/>
      <c r="F103" s="1741"/>
      <c r="G103" s="1742"/>
      <c r="H103" s="2706"/>
      <c r="I103" s="2717"/>
      <c r="J103" s="2718"/>
      <c r="K103" s="2719"/>
      <c r="L103" s="2445"/>
      <c r="M103" s="2446"/>
      <c r="N103" s="2722"/>
      <c r="O103" s="2723"/>
      <c r="P103" s="2725"/>
      <c r="Q103" s="2678"/>
      <c r="R103" s="2678"/>
      <c r="S103" s="2727"/>
      <c r="T103" s="2678"/>
      <c r="U103" s="2678"/>
      <c r="V103" s="2678"/>
      <c r="W103" s="2678"/>
      <c r="X103" s="2678"/>
      <c r="Y103" s="2678"/>
      <c r="Z103" s="1740"/>
      <c r="AA103" s="1708">
        <v>1</v>
      </c>
      <c r="AB103" s="1095"/>
      <c r="AC103" s="1085"/>
      <c r="AD103" s="1095">
        <f>AB103</f>
        <v>0</v>
      </c>
      <c r="AE103" s="1085"/>
      <c r="AF103" s="2720"/>
      <c r="AG103" s="2721"/>
      <c r="AH103" s="2721"/>
      <c r="AI103" s="2720"/>
      <c r="AJ103" s="2721"/>
      <c r="AK103" s="2721"/>
      <c r="AL103" s="1897"/>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360" customFormat="1" ht="11.25" customHeight="1">
      <c r="A104" s="1082"/>
      <c r="B104" s="1082"/>
      <c r="C104" s="1082"/>
      <c r="D104" s="1076"/>
      <c r="E104" s="1086"/>
      <c r="F104" s="1741"/>
      <c r="G104" s="1742"/>
      <c r="H104" s="2706"/>
      <c r="I104" s="2717"/>
      <c r="J104" s="2718"/>
      <c r="K104" s="2719"/>
      <c r="L104" s="2445"/>
      <c r="M104" s="2446"/>
      <c r="N104" s="2722"/>
      <c r="O104" s="2723"/>
      <c r="P104" s="2726"/>
      <c r="Q104" s="2678"/>
      <c r="R104" s="2678"/>
      <c r="S104" s="2727"/>
      <c r="T104" s="2678"/>
      <c r="U104" s="2678"/>
      <c r="V104" s="2678"/>
      <c r="W104" s="2678"/>
      <c r="X104" s="2678"/>
      <c r="Y104" s="2678"/>
      <c r="Z104" s="1091"/>
      <c r="AA104" s="1092"/>
      <c r="AB104" s="1157" t="s">
        <v>1145</v>
      </c>
      <c r="AC104" s="1096"/>
      <c r="AD104" s="1096"/>
      <c r="AE104" s="1098"/>
      <c r="AF104" s="2720"/>
      <c r="AG104" s="2721"/>
      <c r="AH104" s="2721"/>
      <c r="AI104" s="2720"/>
      <c r="AJ104" s="2721"/>
      <c r="AK104" s="2721"/>
      <c r="AL104" s="1897"/>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360" customFormat="1" ht="11.25" customHeight="1">
      <c r="A105" s="1082"/>
      <c r="B105" s="1082"/>
      <c r="C105" s="1082"/>
      <c r="D105" s="1076"/>
      <c r="E105" s="1086"/>
      <c r="F105" s="1741"/>
      <c r="G105" s="1742"/>
      <c r="H105" s="2706"/>
      <c r="I105" s="2717"/>
      <c r="J105" s="2718"/>
      <c r="K105" s="2719"/>
      <c r="L105" s="2445"/>
      <c r="M105" s="2446"/>
      <c r="N105" s="1091"/>
      <c r="O105" s="1092"/>
      <c r="P105" s="1084" t="s">
        <v>1146</v>
      </c>
      <c r="Q105" s="1092"/>
      <c r="R105" s="1092"/>
      <c r="S105" s="1092"/>
      <c r="T105" s="1092"/>
      <c r="U105" s="1092"/>
      <c r="V105" s="1092"/>
      <c r="W105" s="1092"/>
      <c r="X105" s="1092"/>
      <c r="Y105" s="1092"/>
      <c r="Z105" s="1092"/>
      <c r="AA105" s="1092"/>
      <c r="AB105" s="1092"/>
      <c r="AC105" s="1092"/>
      <c r="AD105" s="1092"/>
      <c r="AE105" s="1099"/>
      <c r="AF105" s="2720"/>
      <c r="AG105" s="2721"/>
      <c r="AH105" s="2721"/>
      <c r="AI105" s="2720"/>
      <c r="AJ105" s="2721"/>
      <c r="AK105" s="2721"/>
      <c r="AL105" s="1897"/>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375" customFormat="1" ht="11.25" customHeight="1">
      <c r="A107" s="1729" t="s">
        <v>2074</v>
      </c>
    </row>
    <row r="108" spans="1:184" ht="17.25" customHeight="1"/>
    <row r="109" spans="1:184" s="2351" customFormat="1" ht="21" customHeight="1">
      <c r="A109" s="1083"/>
      <c r="B109" s="865"/>
      <c r="D109" s="849"/>
      <c r="E109" s="864" t="s">
        <v>22</v>
      </c>
      <c r="F109" s="1038" t="e">
        <f>INDEX(IP_MAIN_LIST_NAME_IP,MATCH(A109,IP_MAIN_LIST_IP_ID,0))&amp;" ("&amp;INDEX(IP_MAIN_START_DATE,MATCH(A109,IP_MAIN_LIST_IP_ID,0))&amp;"-"&amp;INDEX(IP_MAIN_END_DATE,MATCH(A109,IP_MAIN_LIST_IP_ID,0))&amp;")"</f>
        <v>#N/A</v>
      </c>
      <c r="G109" s="1119"/>
      <c r="H109" s="1120"/>
      <c r="I109" s="1120"/>
      <c r="J109" s="1120"/>
      <c r="K109" s="1120"/>
      <c r="L109" s="1120"/>
      <c r="M109" s="1120"/>
      <c r="N109" s="1120"/>
      <c r="O109" s="1119"/>
      <c r="P109" s="1119"/>
      <c r="Q109" s="1119"/>
      <c r="R109" s="1119"/>
      <c r="S109" s="1119"/>
      <c r="T109" s="1119"/>
      <c r="U109" s="1121"/>
      <c r="V109" s="1121"/>
      <c r="W109" s="1121"/>
      <c r="X109" s="1121"/>
      <c r="Y109" s="1121"/>
      <c r="Z109" s="1121"/>
      <c r="AA109" s="1121"/>
      <c r="AB109" s="1119"/>
      <c r="AC109" s="1120"/>
      <c r="AD109" s="1120"/>
      <c r="AE109" s="1120"/>
      <c r="AF109" s="1120"/>
      <c r="AG109" s="1120"/>
      <c r="AH109" s="1120"/>
      <c r="AI109" s="1120"/>
      <c r="AJ109" s="1120"/>
      <c r="AK109" s="1120"/>
      <c r="AL109" s="1120"/>
      <c r="AM109" s="1120"/>
      <c r="AN109" s="1120"/>
      <c r="AO109" s="1120"/>
      <c r="AP109" s="1120"/>
      <c r="AQ109" s="1120"/>
      <c r="AR109" s="1120"/>
      <c r="AS109" s="1120"/>
      <c r="AT109" s="1120"/>
      <c r="AU109" s="1120"/>
      <c r="AV109" s="1120"/>
      <c r="AW109" s="1120"/>
      <c r="AX109" s="1120"/>
      <c r="AY109" s="1120"/>
      <c r="AZ109" s="1120"/>
      <c r="BA109" s="1120"/>
      <c r="BB109" s="1120"/>
      <c r="BC109" s="1120"/>
      <c r="BD109" s="1120"/>
      <c r="BE109" s="1120"/>
      <c r="BF109" s="1120"/>
      <c r="BG109" s="1120"/>
      <c r="BH109" s="1120"/>
      <c r="BI109" s="1120"/>
      <c r="BJ109" s="1120"/>
      <c r="BK109" s="1120"/>
      <c r="BL109" s="1120"/>
      <c r="BM109" s="1120"/>
      <c r="BN109" s="1120"/>
      <c r="BO109" s="1120"/>
      <c r="BP109" s="1120"/>
      <c r="BQ109" s="1120"/>
      <c r="BR109" s="1120"/>
      <c r="BS109" s="1120"/>
      <c r="BT109" s="1120"/>
      <c r="BU109" s="1120"/>
      <c r="BV109" s="1120"/>
      <c r="BW109" s="1120"/>
      <c r="BX109" s="1120"/>
      <c r="BY109" s="1120"/>
      <c r="BZ109" s="1120"/>
      <c r="CA109" s="1120"/>
      <c r="CB109" s="1120"/>
      <c r="CC109" s="1120"/>
      <c r="CD109" s="1120"/>
      <c r="CE109" s="1120"/>
      <c r="CF109" s="1120"/>
      <c r="CG109" s="1120"/>
      <c r="CH109" s="1120"/>
      <c r="CI109" s="1120"/>
      <c r="CJ109" s="1120"/>
      <c r="CK109" s="1120"/>
      <c r="CL109" s="1122"/>
      <c r="CM109" s="1122"/>
      <c r="CN109" s="1122"/>
      <c r="CO109" s="1122"/>
      <c r="CP109" s="1122"/>
      <c r="CQ109" s="1122"/>
      <c r="CR109" s="1122"/>
      <c r="CS109" s="1122"/>
      <c r="CT109" s="1122"/>
      <c r="CU109" s="1122"/>
      <c r="CV109" s="1122"/>
      <c r="CW109" s="1122"/>
      <c r="CX109" s="1122"/>
      <c r="CY109" s="1122"/>
      <c r="CZ109" s="1122"/>
      <c r="DA109" s="1122"/>
      <c r="DB109" s="1122"/>
      <c r="DC109" s="1122"/>
      <c r="DD109" s="1122"/>
      <c r="DE109" s="1122"/>
      <c r="DF109" s="1122"/>
      <c r="DG109" s="1122"/>
      <c r="DH109" s="1122"/>
      <c r="DI109" s="1122"/>
      <c r="DJ109" s="1122"/>
      <c r="DK109" s="1122"/>
      <c r="DL109" s="1122"/>
      <c r="DM109" s="1122"/>
      <c r="DN109" s="1122"/>
      <c r="DO109" s="1122"/>
      <c r="DP109" s="1122"/>
      <c r="DQ109" s="1122"/>
      <c r="DR109" s="1122"/>
      <c r="DS109" s="1122"/>
      <c r="DT109" s="1122"/>
      <c r="DU109" s="1122"/>
      <c r="DV109" s="1122"/>
      <c r="DW109" s="1122"/>
      <c r="DX109" s="1122"/>
      <c r="DY109" s="1122"/>
      <c r="DZ109" s="1122"/>
      <c r="EA109" s="1122"/>
      <c r="EB109" s="1122"/>
      <c r="EC109" s="1122"/>
      <c r="ED109" s="1122"/>
      <c r="EE109" s="1122"/>
      <c r="EF109" s="1122"/>
      <c r="EG109" s="1122"/>
      <c r="EH109" s="1122"/>
      <c r="EI109" s="1122"/>
      <c r="EJ109" s="1122"/>
      <c r="EK109" s="1122"/>
      <c r="EL109" s="1122"/>
      <c r="EM109" s="1122"/>
      <c r="EN109" s="1122"/>
      <c r="EO109" s="1122"/>
      <c r="EP109" s="1122"/>
      <c r="EQ109" s="1122"/>
      <c r="ER109" s="1122"/>
      <c r="ES109" s="1122"/>
      <c r="ET109" s="1122"/>
      <c r="EU109" s="1122"/>
      <c r="EV109" s="1122"/>
      <c r="EW109" s="1122"/>
      <c r="EX109" s="1122"/>
      <c r="EY109" s="1122"/>
      <c r="EZ109" s="1122"/>
      <c r="FA109" s="1122"/>
      <c r="FB109" s="1122"/>
      <c r="FC109" s="1122"/>
      <c r="FD109" s="1122"/>
      <c r="FE109" s="1122"/>
      <c r="FF109" s="1122"/>
      <c r="FG109" s="1122"/>
      <c r="FH109" s="1122"/>
      <c r="FI109" s="1122"/>
      <c r="FJ109" s="1122"/>
      <c r="FK109" s="1122"/>
      <c r="FL109" s="1122"/>
      <c r="FM109" s="1122"/>
      <c r="FN109" s="1122"/>
      <c r="FO109" s="1122"/>
      <c r="FP109" s="1122"/>
      <c r="FQ109" s="1122"/>
      <c r="FR109" s="1122"/>
      <c r="FS109" s="1122"/>
      <c r="FT109" s="1122"/>
      <c r="FU109" s="1122"/>
      <c r="FV109" s="1123"/>
      <c r="FW109" s="1117"/>
      <c r="FX109" s="1118"/>
    </row>
    <row r="110" spans="1:184" s="2351" customFormat="1" ht="24.75" customHeight="1">
      <c r="B110" s="848"/>
      <c r="C110" s="849"/>
      <c r="D110" s="849"/>
      <c r="E110" s="1747"/>
      <c r="F110" s="1124">
        <v>1</v>
      </c>
      <c r="G110" s="1125"/>
      <c r="H110" s="1126"/>
      <c r="I110" s="1891"/>
      <c r="J110" s="1127"/>
      <c r="K110" s="1127"/>
      <c r="L110" s="1127"/>
      <c r="M110" s="1127"/>
      <c r="N110" s="1127"/>
      <c r="O110" s="1128"/>
      <c r="P110" s="1128"/>
      <c r="Q110" s="1128"/>
      <c r="R110" s="1128"/>
      <c r="S110" s="1128"/>
      <c r="T110" s="1128"/>
      <c r="U110" s="1128"/>
      <c r="V110" s="1128"/>
      <c r="W110" s="1128"/>
      <c r="X110" s="1128"/>
      <c r="Y110" s="1128"/>
      <c r="Z110" s="1128"/>
      <c r="AA110" s="1128"/>
      <c r="AB110" s="1128"/>
      <c r="AC110" s="1127"/>
      <c r="AD110" s="1127"/>
      <c r="AE110" s="1127"/>
      <c r="AF110" s="1127"/>
      <c r="AG110" s="1127"/>
      <c r="AH110" s="1127"/>
      <c r="AI110" s="1127"/>
      <c r="AJ110" s="1127"/>
      <c r="AK110" s="1127"/>
      <c r="AL110" s="1127"/>
      <c r="AM110" s="1127"/>
      <c r="AN110" s="1127"/>
      <c r="AO110" s="1127"/>
      <c r="AP110" s="1127"/>
      <c r="AQ110" s="1127"/>
      <c r="AR110" s="1127"/>
      <c r="AS110" s="1127"/>
      <c r="AT110" s="1127"/>
      <c r="AU110" s="1127"/>
      <c r="AV110" s="1127"/>
      <c r="AW110" s="1127"/>
      <c r="AX110" s="1127"/>
      <c r="AY110" s="1127"/>
      <c r="AZ110" s="1127"/>
      <c r="BA110" s="1127"/>
      <c r="BB110" s="1127"/>
      <c r="BC110" s="1127"/>
      <c r="BD110" s="1127"/>
      <c r="BE110" s="1127"/>
      <c r="BF110" s="1127"/>
      <c r="BG110" s="1127"/>
      <c r="BH110" s="1127"/>
      <c r="BI110" s="1127"/>
      <c r="BJ110" s="1127"/>
      <c r="BK110" s="1127"/>
      <c r="BL110" s="1127"/>
      <c r="BM110" s="1127"/>
      <c r="BN110" s="1127"/>
      <c r="BO110" s="1127"/>
      <c r="BP110" s="1127"/>
      <c r="BQ110" s="1127"/>
      <c r="BR110" s="1127"/>
      <c r="BS110" s="1127"/>
      <c r="BT110" s="1128"/>
      <c r="BU110" s="1128"/>
      <c r="BV110" s="1128"/>
      <c r="BW110" s="1128"/>
      <c r="BX110" s="1128"/>
      <c r="BY110" s="1128"/>
      <c r="BZ110" s="1128"/>
      <c r="CA110" s="1128"/>
      <c r="CB110" s="1128"/>
      <c r="CC110" s="1128"/>
      <c r="CD110" s="1128"/>
      <c r="CE110" s="1128"/>
      <c r="CF110" s="1128"/>
      <c r="CG110" s="1128"/>
      <c r="CH110" s="1128"/>
      <c r="CI110" s="1128"/>
      <c r="CJ110" s="1128"/>
      <c r="CK110" s="1128"/>
      <c r="CL110" s="1127"/>
      <c r="CM110" s="1127"/>
      <c r="CN110" s="1127"/>
      <c r="CO110" s="1127"/>
      <c r="CP110" s="1127"/>
      <c r="CQ110" s="1127"/>
      <c r="CR110" s="1127"/>
      <c r="CS110" s="1127"/>
      <c r="CT110" s="1127"/>
      <c r="CU110" s="1127"/>
      <c r="CV110" s="1127"/>
      <c r="CW110" s="1127"/>
      <c r="CX110" s="1127"/>
      <c r="CY110" s="1128"/>
      <c r="CZ110" s="1128"/>
      <c r="DA110" s="1128"/>
      <c r="DB110" s="1128"/>
      <c r="DC110" s="1128"/>
      <c r="DD110" s="1128"/>
      <c r="DE110" s="1128"/>
      <c r="DF110" s="1128"/>
      <c r="DG110" s="1128"/>
      <c r="DH110" s="1128"/>
      <c r="DI110" s="1128"/>
      <c r="DJ110" s="1128"/>
      <c r="DK110" s="1127"/>
      <c r="DL110" s="1127"/>
      <c r="DM110" s="1127"/>
      <c r="DN110" s="1127"/>
      <c r="DO110" s="1127"/>
      <c r="DP110" s="1127"/>
      <c r="DQ110" s="1127"/>
      <c r="DR110" s="1127"/>
      <c r="DS110" s="1127"/>
      <c r="DT110" s="1127"/>
      <c r="DU110" s="1127"/>
      <c r="DV110" s="1127"/>
      <c r="DW110" s="1127"/>
      <c r="DX110" s="1127"/>
      <c r="DY110" s="1127"/>
      <c r="DZ110" s="1127"/>
      <c r="EA110" s="1127"/>
      <c r="EB110" s="1127"/>
      <c r="EC110" s="1127"/>
      <c r="ED110" s="1127"/>
      <c r="EE110" s="1127"/>
      <c r="EF110" s="1127"/>
      <c r="EG110" s="1127"/>
      <c r="EH110" s="1127"/>
      <c r="EI110" s="1127"/>
      <c r="EJ110" s="1127"/>
      <c r="EK110" s="1127"/>
      <c r="EL110" s="1127"/>
      <c r="EM110" s="1127"/>
      <c r="EN110" s="1127"/>
      <c r="EO110" s="1127"/>
      <c r="EP110" s="1127"/>
      <c r="EQ110" s="1127"/>
      <c r="ER110" s="1127"/>
      <c r="ES110" s="1127"/>
      <c r="ET110" s="1127"/>
      <c r="EU110" s="1127"/>
      <c r="EV110" s="1127"/>
      <c r="EW110" s="1127"/>
      <c r="EX110" s="1127"/>
      <c r="EY110" s="1127"/>
      <c r="EZ110" s="1127"/>
      <c r="FA110" s="1127"/>
      <c r="FB110" s="1127"/>
      <c r="FC110" s="1127"/>
      <c r="FD110" s="1127"/>
      <c r="FE110" s="1127"/>
      <c r="FF110" s="1127"/>
      <c r="FG110" s="1127"/>
      <c r="FH110" s="1127"/>
      <c r="FI110" s="1127"/>
      <c r="FJ110" s="1127"/>
      <c r="FK110" s="1127"/>
      <c r="FL110" s="1127"/>
      <c r="FM110" s="1127"/>
      <c r="FN110" s="1127"/>
      <c r="FO110" s="1127"/>
      <c r="FP110" s="1127"/>
      <c r="FQ110" s="1127"/>
      <c r="FR110" s="1127"/>
      <c r="FS110" s="1127"/>
      <c r="FT110" s="1127"/>
      <c r="FU110" s="1127"/>
      <c r="FV110" s="1127"/>
      <c r="FW110" s="1127"/>
      <c r="FX110" s="1118"/>
    </row>
    <row r="111" spans="1:184" s="2351" customFormat="1" ht="12" customHeight="1">
      <c r="A111" s="849"/>
      <c r="B111" s="848"/>
      <c r="C111" s="849"/>
      <c r="D111" s="849"/>
      <c r="E111" s="849"/>
      <c r="F111" s="1129"/>
      <c r="G111" s="1714" t="s">
        <v>1272</v>
      </c>
      <c r="H111" s="1130"/>
      <c r="I111" s="1130"/>
      <c r="J111" s="1130"/>
      <c r="K111" s="1130"/>
      <c r="L111" s="1130"/>
      <c r="M111" s="1130"/>
      <c r="N111" s="1130"/>
      <c r="O111" s="1130"/>
      <c r="P111" s="1130"/>
      <c r="Q111" s="1130"/>
      <c r="R111" s="1130"/>
      <c r="S111" s="1130"/>
      <c r="T111" s="1130"/>
      <c r="U111" s="1130"/>
      <c r="V111" s="1130"/>
      <c r="W111" s="1130"/>
      <c r="X111" s="1130"/>
      <c r="Y111" s="1130"/>
      <c r="Z111" s="1130"/>
      <c r="AA111" s="1130"/>
      <c r="AB111" s="1130"/>
      <c r="AC111" s="1130"/>
      <c r="AD111" s="1130"/>
      <c r="AE111" s="1130"/>
      <c r="AF111" s="1130"/>
      <c r="AG111" s="1130"/>
      <c r="AH111" s="1130"/>
      <c r="AI111" s="1130"/>
      <c r="AJ111" s="1130"/>
      <c r="AK111" s="1130"/>
      <c r="AL111" s="1130"/>
      <c r="AM111" s="1130"/>
      <c r="AN111" s="1130"/>
      <c r="AO111" s="1130"/>
      <c r="AP111" s="1130"/>
      <c r="AQ111" s="1130"/>
      <c r="AR111" s="1130"/>
      <c r="AS111" s="1130"/>
      <c r="AT111" s="1130"/>
      <c r="AU111" s="1130"/>
      <c r="AV111" s="1130"/>
      <c r="AW111" s="1130"/>
      <c r="AX111" s="1130"/>
      <c r="AY111" s="1130"/>
      <c r="AZ111" s="1130"/>
      <c r="BA111" s="1130"/>
      <c r="BB111" s="1130"/>
      <c r="BC111" s="1130"/>
      <c r="BD111" s="1130"/>
      <c r="BE111" s="1130"/>
      <c r="BF111" s="1130"/>
      <c r="BG111" s="1130"/>
      <c r="BH111" s="1130"/>
      <c r="BI111" s="1130"/>
      <c r="BJ111" s="1130"/>
      <c r="BK111" s="1130"/>
      <c r="BL111" s="1130"/>
      <c r="BM111" s="1130"/>
      <c r="BN111" s="1130"/>
      <c r="BO111" s="1130"/>
      <c r="BP111" s="1130"/>
      <c r="BQ111" s="1130"/>
      <c r="BR111" s="1130"/>
      <c r="BS111" s="1130"/>
      <c r="BT111" s="1130"/>
      <c r="BU111" s="1130"/>
      <c r="BV111" s="1130"/>
      <c r="BW111" s="1130"/>
      <c r="BX111" s="1130"/>
      <c r="BY111" s="1130"/>
      <c r="BZ111" s="1130"/>
      <c r="CA111" s="1130"/>
      <c r="CB111" s="1130"/>
      <c r="CC111" s="1130"/>
      <c r="CD111" s="1130"/>
      <c r="CE111" s="1130"/>
      <c r="CF111" s="1130"/>
      <c r="CG111" s="1130"/>
      <c r="CH111" s="1130"/>
      <c r="CI111" s="1130"/>
      <c r="CJ111" s="1130"/>
      <c r="CK111" s="1130"/>
      <c r="CL111" s="1130"/>
      <c r="CM111" s="1130"/>
      <c r="CN111" s="1130"/>
      <c r="CO111" s="1130"/>
      <c r="CP111" s="1130"/>
      <c r="CQ111" s="1130"/>
      <c r="CR111" s="1130"/>
      <c r="CS111" s="1130"/>
      <c r="CT111" s="1130"/>
      <c r="CU111" s="1130"/>
      <c r="CV111" s="1130"/>
      <c r="CW111" s="1130"/>
      <c r="CX111" s="1130"/>
      <c r="CY111" s="1130"/>
      <c r="CZ111" s="1130"/>
      <c r="DA111" s="1130"/>
      <c r="DB111" s="1130"/>
      <c r="DC111" s="1130"/>
      <c r="DD111" s="1130"/>
      <c r="DE111" s="1130"/>
      <c r="DF111" s="1130"/>
      <c r="DG111" s="1130"/>
      <c r="DH111" s="1130"/>
      <c r="DI111" s="1130"/>
      <c r="DJ111" s="1130"/>
      <c r="DK111" s="1130"/>
      <c r="DL111" s="1130"/>
      <c r="DM111" s="1130"/>
      <c r="DN111" s="1130"/>
      <c r="DO111" s="1130"/>
      <c r="DP111" s="1130"/>
      <c r="DQ111" s="1130"/>
      <c r="DR111" s="1130"/>
      <c r="DS111" s="1130"/>
      <c r="DT111" s="1130"/>
      <c r="DU111" s="1130"/>
      <c r="DV111" s="1130"/>
      <c r="DW111" s="1130"/>
      <c r="DX111" s="1130"/>
      <c r="DY111" s="1130"/>
      <c r="DZ111" s="1130"/>
      <c r="EA111" s="1130"/>
      <c r="EB111" s="1130"/>
      <c r="EC111" s="1130"/>
      <c r="ED111" s="1130"/>
      <c r="EE111" s="1130"/>
      <c r="EF111" s="1130"/>
      <c r="EG111" s="1130"/>
      <c r="EH111" s="1130"/>
      <c r="EI111" s="1130"/>
      <c r="EJ111" s="1130"/>
      <c r="EK111" s="1130"/>
      <c r="EL111" s="1130"/>
      <c r="EM111" s="1130"/>
      <c r="EN111" s="1130"/>
      <c r="EO111" s="1130"/>
      <c r="EP111" s="1130"/>
      <c r="EQ111" s="1130"/>
      <c r="ER111" s="1130"/>
      <c r="ES111" s="1130"/>
      <c r="ET111" s="1130"/>
      <c r="EU111" s="1130"/>
      <c r="EV111" s="1130"/>
      <c r="EW111" s="1130"/>
      <c r="EX111" s="1130"/>
      <c r="EY111" s="1130"/>
      <c r="EZ111" s="1130"/>
      <c r="FA111" s="1130"/>
      <c r="FB111" s="1130"/>
      <c r="FC111" s="1130"/>
      <c r="FD111" s="1130"/>
      <c r="FE111" s="1130"/>
      <c r="FF111" s="1130"/>
      <c r="FG111" s="1130"/>
      <c r="FH111" s="1130"/>
      <c r="FI111" s="1130"/>
      <c r="FJ111" s="1130"/>
      <c r="FK111" s="1130"/>
      <c r="FL111" s="1130"/>
      <c r="FM111" s="1130"/>
      <c r="FN111" s="1130"/>
      <c r="FO111" s="1130"/>
      <c r="FP111" s="1130"/>
      <c r="FQ111" s="1130"/>
      <c r="FR111" s="1130"/>
      <c r="FS111" s="1130"/>
      <c r="FT111" s="1130"/>
      <c r="FU111" s="1130"/>
      <c r="FV111" s="1130"/>
      <c r="FW111" s="1131"/>
      <c r="FX111" s="1132"/>
      <c r="FY111" s="866"/>
      <c r="FZ111" s="866"/>
      <c r="GA111" s="866"/>
      <c r="GB111" s="866"/>
    </row>
    <row r="113" spans="1:83" s="2375" customFormat="1" ht="11.25" customHeight="1">
      <c r="A113" s="1729" t="s">
        <v>2075</v>
      </c>
    </row>
    <row r="115" spans="1:83" s="2398" customFormat="1" ht="15" customHeight="1">
      <c r="A115" s="559"/>
      <c r="B115" s="560"/>
      <c r="C115" s="560"/>
      <c r="D115" s="2802" t="s">
        <v>109</v>
      </c>
      <c r="E115" s="2655" t="s">
        <v>105</v>
      </c>
      <c r="F115" s="2656"/>
      <c r="G115" s="2657"/>
      <c r="H115" s="2651" t="str">
        <f>IF(A115="","",INDEX(DIFFERENTIATION_UNMERGE_VD,MATCH(A115,DIFFERENTIATION_ID_DIFF,0)))</f>
        <v/>
      </c>
      <c r="I115" s="2651"/>
      <c r="J115" s="2651"/>
      <c r="K115" s="2651"/>
      <c r="L115" s="2651"/>
      <c r="M115" s="2651"/>
      <c r="N115" s="2651"/>
      <c r="O115" s="2651"/>
      <c r="P115" s="2651"/>
      <c r="Q115" s="2651"/>
      <c r="R115" s="2651"/>
      <c r="S115" s="655"/>
      <c r="T115" s="652"/>
      <c r="U115" s="561"/>
      <c r="V115" s="561"/>
      <c r="W115" s="562"/>
      <c r="X115" s="562"/>
      <c r="Y115" s="562"/>
      <c r="Z115" s="562"/>
      <c r="AA115" s="563"/>
      <c r="AB115" s="564"/>
      <c r="AC115" s="2654"/>
      <c r="AD115" s="565"/>
      <c r="AE115" s="566" t="s">
        <v>22</v>
      </c>
      <c r="AF115" s="566"/>
      <c r="AG115" s="567" t="s">
        <v>696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398" customFormat="1" ht="15" customHeight="1">
      <c r="A116" s="559"/>
      <c r="B116" s="560"/>
      <c r="C116" s="560"/>
      <c r="D116" s="2803"/>
      <c r="E116" s="2655" t="s">
        <v>563</v>
      </c>
      <c r="F116" s="2656"/>
      <c r="G116" s="2657"/>
      <c r="H116" s="2651" t="str">
        <f>IF(A115="","",INDEX(DIFFERENTIATION_UNMERGE_AREA,MATCH(A115,DIFFERENTIATION_ID_DIFF,0)))</f>
        <v/>
      </c>
      <c r="I116" s="2651"/>
      <c r="J116" s="2651"/>
      <c r="K116" s="2651"/>
      <c r="L116" s="2651"/>
      <c r="M116" s="2651"/>
      <c r="N116" s="2651"/>
      <c r="O116" s="2651"/>
      <c r="P116" s="2651"/>
      <c r="Q116" s="2651"/>
      <c r="R116" s="2651"/>
      <c r="S116" s="655"/>
      <c r="T116" s="652"/>
      <c r="U116" s="561"/>
      <c r="V116" s="561"/>
      <c r="W116" s="562"/>
      <c r="X116" s="562"/>
      <c r="Y116" s="562"/>
      <c r="Z116" s="562"/>
      <c r="AA116" s="563"/>
      <c r="AB116" s="564"/>
      <c r="AC116" s="265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398" customFormat="1" ht="15" customHeight="1">
      <c r="A117" s="559"/>
      <c r="B117" s="560"/>
      <c r="C117" s="560"/>
      <c r="D117" s="2803"/>
      <c r="E117" s="2655" t="s">
        <v>564</v>
      </c>
      <c r="F117" s="2656"/>
      <c r="G117" s="2657"/>
      <c r="H117" s="2651" t="str">
        <f>IF(A115="","",INDEX(DIFFERENTIATION_UNMERGE_SYSTEM,MATCH(A115,DIFFERENTIATION_ID_DIFF,0)))</f>
        <v/>
      </c>
      <c r="I117" s="2651"/>
      <c r="J117" s="2651"/>
      <c r="K117" s="2651"/>
      <c r="L117" s="2651"/>
      <c r="M117" s="2651"/>
      <c r="N117" s="2651"/>
      <c r="O117" s="2651"/>
      <c r="P117" s="2651"/>
      <c r="Q117" s="2651"/>
      <c r="R117" s="2651"/>
      <c r="S117" s="655"/>
      <c r="T117" s="652"/>
      <c r="U117" s="561"/>
      <c r="V117" s="561"/>
      <c r="W117" s="562"/>
      <c r="X117" s="562"/>
      <c r="Y117" s="562"/>
      <c r="Z117" s="562"/>
      <c r="AA117" s="563"/>
      <c r="AB117" s="564"/>
      <c r="AC117" s="265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398" customFormat="1" ht="24.75" customHeight="1">
      <c r="A118" s="1720"/>
      <c r="B118" s="1076"/>
      <c r="C118" s="348"/>
      <c r="D118" s="2803"/>
      <c r="E118" s="2653" t="s">
        <v>697</v>
      </c>
      <c r="F118" s="2653"/>
      <c r="G118" s="2653"/>
      <c r="H118" s="2653"/>
      <c r="I118" s="2653"/>
      <c r="J118" s="2653"/>
      <c r="K118" s="2653"/>
      <c r="L118" s="2653"/>
      <c r="M118" s="2653"/>
      <c r="N118" s="2653"/>
      <c r="O118" s="2653"/>
      <c r="P118" s="2653"/>
      <c r="Q118" s="494">
        <f>SUMIF(T119:T120,"i",Q119:Q120)</f>
        <v>0</v>
      </c>
      <c r="R118" s="939"/>
      <c r="S118" s="1712" t="s">
        <v>698</v>
      </c>
      <c r="T118" s="653" t="s">
        <v>699</v>
      </c>
      <c r="U118" s="2567">
        <v>1</v>
      </c>
      <c r="V118" s="2567" t="s">
        <v>578</v>
      </c>
      <c r="W118" s="1076"/>
      <c r="X118" s="1076"/>
      <c r="Y118" s="1076"/>
      <c r="Z118" s="1076"/>
      <c r="AA118" s="1552"/>
      <c r="AB118" s="1076"/>
      <c r="AC118" s="2654"/>
      <c r="AD118" s="565"/>
      <c r="AE118" s="1076"/>
      <c r="AF118" s="1076"/>
      <c r="AG118" s="1552"/>
      <c r="AH118" s="1552"/>
      <c r="AI118" s="1552"/>
      <c r="AJ118" s="1552"/>
      <c r="AK118" s="1552"/>
      <c r="AL118" s="1552"/>
      <c r="AM118" s="1552"/>
      <c r="AN118" s="1552"/>
      <c r="AO118" s="1552"/>
      <c r="AP118" s="1552"/>
      <c r="AQ118" s="1552"/>
      <c r="AR118" s="1552"/>
      <c r="AS118" s="1552"/>
      <c r="AT118" s="1552"/>
      <c r="AU118" s="1552"/>
      <c r="AV118" s="1552"/>
      <c r="AW118" s="1552"/>
      <c r="AX118" s="1552"/>
      <c r="AY118" s="1552"/>
      <c r="AZ118" s="1552"/>
      <c r="BA118" s="1552"/>
      <c r="BB118" s="1552"/>
      <c r="BC118" s="1552"/>
      <c r="BD118" s="1552"/>
      <c r="BE118" s="1552"/>
      <c r="BF118" s="1552"/>
      <c r="BG118" s="1552"/>
      <c r="BH118" s="1552"/>
      <c r="BI118" s="1552"/>
      <c r="BJ118" s="1552"/>
      <c r="BK118" s="1552"/>
      <c r="BL118" s="1552"/>
      <c r="BM118" s="1552"/>
      <c r="BN118" s="1552"/>
      <c r="BO118" s="1552"/>
      <c r="BP118" s="1552"/>
      <c r="BQ118" s="1552"/>
      <c r="BR118" s="1552"/>
      <c r="BS118" s="1552"/>
      <c r="BT118" s="1552"/>
      <c r="BU118" s="1552"/>
      <c r="BV118" s="1076"/>
      <c r="BW118" s="1076"/>
      <c r="BX118" s="1076"/>
      <c r="BY118" s="1076"/>
      <c r="BZ118" s="1076"/>
      <c r="CA118" s="1076"/>
      <c r="CB118" s="1076"/>
      <c r="CC118" s="1076"/>
      <c r="CD118" s="1076"/>
      <c r="CE118" s="1076"/>
    </row>
    <row r="119" spans="1:83" s="2398" customFormat="1" ht="11.25" hidden="1" customHeight="1">
      <c r="A119" s="1707"/>
      <c r="B119" s="1552"/>
      <c r="C119" s="1552"/>
      <c r="D119" s="2803"/>
      <c r="E119" s="571"/>
      <c r="F119" s="571">
        <v>0</v>
      </c>
      <c r="G119" s="571"/>
      <c r="H119" s="571"/>
      <c r="I119" s="571"/>
      <c r="J119" s="571"/>
      <c r="K119" s="571"/>
      <c r="L119" s="571"/>
      <c r="M119" s="571"/>
      <c r="N119" s="571"/>
      <c r="O119" s="571"/>
      <c r="P119" s="571"/>
      <c r="Q119" s="571"/>
      <c r="R119" s="571"/>
      <c r="S119" s="572"/>
      <c r="T119" s="654"/>
      <c r="U119" s="2567"/>
      <c r="V119" s="2567"/>
      <c r="W119" s="1552"/>
      <c r="X119" s="1552"/>
      <c r="Y119" s="1552"/>
      <c r="Z119" s="1552"/>
      <c r="AA119" s="1552"/>
      <c r="AB119" s="1076"/>
      <c r="AC119" s="2654"/>
      <c r="AD119" s="565"/>
      <c r="AE119" s="1076"/>
      <c r="AF119" s="1076"/>
      <c r="AG119" s="1552"/>
      <c r="AH119" s="1552"/>
      <c r="AI119" s="1552"/>
      <c r="AJ119" s="1552"/>
      <c r="AK119" s="1552"/>
      <c r="AL119" s="1552"/>
      <c r="AM119" s="1552"/>
      <c r="AN119" s="1552"/>
      <c r="AO119" s="1552"/>
      <c r="AP119" s="1552"/>
      <c r="AQ119" s="1552"/>
      <c r="AR119" s="1552"/>
      <c r="AS119" s="1552"/>
      <c r="AT119" s="1552"/>
      <c r="AU119" s="1552"/>
      <c r="AV119" s="1552"/>
      <c r="AW119" s="1552"/>
      <c r="AX119" s="1552"/>
      <c r="AY119" s="1552"/>
      <c r="AZ119" s="1552"/>
      <c r="BA119" s="1552"/>
      <c r="BB119" s="1552"/>
      <c r="BC119" s="1552"/>
      <c r="BD119" s="1552"/>
      <c r="BE119" s="1552"/>
      <c r="BF119" s="1552"/>
      <c r="BG119" s="1552"/>
      <c r="BH119" s="1552"/>
      <c r="BI119" s="1552"/>
      <c r="BJ119" s="1552"/>
      <c r="BK119" s="1552"/>
      <c r="BL119" s="1552"/>
      <c r="BM119" s="1552"/>
      <c r="BN119" s="1552"/>
      <c r="BO119" s="1552"/>
      <c r="BP119" s="1552"/>
      <c r="BQ119" s="1552"/>
      <c r="BR119" s="1552"/>
      <c r="BS119" s="1552"/>
      <c r="BT119" s="1552"/>
      <c r="BU119" s="1552"/>
      <c r="BV119" s="1552"/>
      <c r="BW119" s="1552"/>
      <c r="BX119" s="1552"/>
      <c r="BY119" s="1552"/>
      <c r="BZ119" s="1552"/>
      <c r="CA119" s="1552"/>
      <c r="CB119" s="1552"/>
      <c r="CC119" s="1552"/>
      <c r="CD119" s="1552"/>
      <c r="CE119" s="1552"/>
    </row>
    <row r="120" spans="1:83" s="2398" customFormat="1" ht="11.25" customHeight="1">
      <c r="A120" s="1720"/>
      <c r="B120" s="1076"/>
      <c r="C120" s="348"/>
      <c r="D120" s="2803"/>
      <c r="E120" s="585" t="s">
        <v>22</v>
      </c>
      <c r="F120" s="1084" t="s">
        <v>22</v>
      </c>
      <c r="G120" s="1084" t="s">
        <v>2076</v>
      </c>
      <c r="H120" s="587" t="s">
        <v>22</v>
      </c>
      <c r="I120" s="587"/>
      <c r="J120" s="587"/>
      <c r="K120" s="587"/>
      <c r="L120" s="587"/>
      <c r="M120" s="587"/>
      <c r="N120" s="587"/>
      <c r="O120" s="587"/>
      <c r="P120" s="587"/>
      <c r="Q120" s="587"/>
      <c r="R120" s="588"/>
      <c r="S120" s="589"/>
      <c r="T120" s="654"/>
      <c r="U120" s="2567"/>
      <c r="V120" s="2567"/>
      <c r="W120" s="1076"/>
      <c r="X120" s="1076"/>
      <c r="Y120" s="1076"/>
      <c r="Z120" s="1076"/>
      <c r="AA120" s="1552"/>
      <c r="AB120" s="1076"/>
      <c r="AC120" s="2654"/>
      <c r="AD120" s="565"/>
      <c r="AE120" s="1076"/>
      <c r="AF120" s="1076"/>
      <c r="AG120" s="1552"/>
      <c r="AH120" s="1552"/>
      <c r="AI120" s="1552"/>
      <c r="AJ120" s="1552"/>
      <c r="AK120" s="1552"/>
      <c r="AL120" s="1552"/>
      <c r="AM120" s="1552"/>
      <c r="AN120" s="1552"/>
      <c r="AO120" s="1552"/>
      <c r="AP120" s="1552"/>
      <c r="AQ120" s="1552"/>
      <c r="AR120" s="1552"/>
      <c r="AS120" s="1552"/>
      <c r="AT120" s="1552"/>
      <c r="AU120" s="1552"/>
      <c r="AV120" s="1552"/>
      <c r="AW120" s="1552"/>
      <c r="AX120" s="1552"/>
      <c r="AY120" s="1552"/>
      <c r="AZ120" s="1552"/>
      <c r="BA120" s="1552"/>
      <c r="BB120" s="1552"/>
      <c r="BC120" s="1552"/>
      <c r="BD120" s="1552"/>
      <c r="BE120" s="1552"/>
      <c r="BF120" s="1552"/>
      <c r="BG120" s="1552"/>
      <c r="BH120" s="1552"/>
      <c r="BI120" s="1552"/>
      <c r="BJ120" s="1552"/>
      <c r="BK120" s="1552"/>
      <c r="BL120" s="1552"/>
      <c r="BM120" s="1552"/>
      <c r="BN120" s="1552"/>
      <c r="BO120" s="1552"/>
      <c r="BP120" s="1552"/>
      <c r="BQ120" s="1552"/>
      <c r="BR120" s="1552"/>
      <c r="BS120" s="1552"/>
      <c r="BT120" s="1552"/>
      <c r="BU120" s="1552"/>
      <c r="BV120" s="1076"/>
      <c r="BW120" s="1076"/>
      <c r="BX120" s="1076"/>
      <c r="BY120" s="1076"/>
      <c r="BZ120" s="1076"/>
      <c r="CA120" s="1076"/>
      <c r="CB120" s="1076"/>
      <c r="CC120" s="1076"/>
      <c r="CD120" s="1076"/>
      <c r="CE120" s="1076"/>
    </row>
    <row r="121" spans="1:83" s="2398" customFormat="1" ht="24.75" customHeight="1">
      <c r="A121" s="1720"/>
      <c r="B121" s="1076"/>
      <c r="C121" s="348"/>
      <c r="D121" s="2803"/>
      <c r="E121" s="2653" t="s">
        <v>700</v>
      </c>
      <c r="F121" s="2653"/>
      <c r="G121" s="2653"/>
      <c r="H121" s="2653"/>
      <c r="I121" s="2653"/>
      <c r="J121" s="2653"/>
      <c r="K121" s="2653"/>
      <c r="L121" s="2653"/>
      <c r="M121" s="2653"/>
      <c r="N121" s="2653"/>
      <c r="O121" s="2653"/>
      <c r="P121" s="2653"/>
      <c r="Q121" s="494">
        <f>SUMIF(T122:T123,"i",Q122:Q123)</f>
        <v>0</v>
      </c>
      <c r="R121" s="939"/>
      <c r="S121" s="1712" t="s">
        <v>701</v>
      </c>
      <c r="T121" s="653" t="s">
        <v>699</v>
      </c>
      <c r="U121" s="2567">
        <v>1</v>
      </c>
      <c r="V121" s="2567" t="s">
        <v>578</v>
      </c>
      <c r="W121" s="1076"/>
      <c r="X121" s="1076"/>
      <c r="Y121" s="1076"/>
      <c r="Z121" s="1076"/>
      <c r="AA121" s="1552"/>
      <c r="AB121" s="1076"/>
      <c r="AC121" s="1710"/>
      <c r="AD121" s="565"/>
      <c r="AE121" s="1076"/>
      <c r="AF121" s="1076"/>
      <c r="AG121" s="1552"/>
      <c r="AH121" s="1552"/>
      <c r="AI121" s="1552"/>
      <c r="AJ121" s="1552"/>
      <c r="AK121" s="1552"/>
      <c r="AL121" s="1552"/>
      <c r="AM121" s="1552"/>
      <c r="AN121" s="1552"/>
      <c r="AO121" s="1552"/>
      <c r="AP121" s="1552"/>
      <c r="AQ121" s="1552"/>
      <c r="AR121" s="1552"/>
      <c r="AS121" s="1552"/>
      <c r="AT121" s="1552"/>
      <c r="AU121" s="1552"/>
      <c r="AV121" s="1552"/>
      <c r="AW121" s="1552"/>
      <c r="AX121" s="1552"/>
      <c r="AY121" s="1552"/>
      <c r="AZ121" s="1552"/>
      <c r="BA121" s="1552"/>
      <c r="BB121" s="1552"/>
      <c r="BC121" s="1552"/>
      <c r="BD121" s="1552"/>
      <c r="BE121" s="1552"/>
      <c r="BF121" s="1552"/>
      <c r="BG121" s="1552"/>
      <c r="BH121" s="1552"/>
      <c r="BI121" s="1552"/>
      <c r="BJ121" s="1552"/>
      <c r="BK121" s="1552"/>
      <c r="BL121" s="1552"/>
      <c r="BM121" s="1552"/>
      <c r="BN121" s="1552"/>
      <c r="BO121" s="1552"/>
      <c r="BP121" s="1552"/>
      <c r="BQ121" s="1552"/>
      <c r="BR121" s="1552"/>
      <c r="BS121" s="1552"/>
      <c r="BT121" s="1552"/>
      <c r="BU121" s="1552"/>
      <c r="BV121" s="1076"/>
      <c r="BW121" s="1076"/>
      <c r="BX121" s="1076"/>
      <c r="BY121" s="1076"/>
      <c r="BZ121" s="1076"/>
      <c r="CA121" s="1076"/>
      <c r="CB121" s="1076"/>
      <c r="CC121" s="1076"/>
      <c r="CD121" s="1076"/>
      <c r="CE121" s="1076"/>
    </row>
    <row r="122" spans="1:83" s="2398" customFormat="1" ht="11.25" hidden="1" customHeight="1">
      <c r="A122" s="1707"/>
      <c r="B122" s="1552"/>
      <c r="C122" s="1552"/>
      <c r="D122" s="2803"/>
      <c r="E122" s="571"/>
      <c r="F122" s="571">
        <v>0</v>
      </c>
      <c r="G122" s="571"/>
      <c r="H122" s="571"/>
      <c r="I122" s="571"/>
      <c r="J122" s="571"/>
      <c r="K122" s="571"/>
      <c r="L122" s="571"/>
      <c r="M122" s="571"/>
      <c r="N122" s="571"/>
      <c r="O122" s="571"/>
      <c r="P122" s="571"/>
      <c r="Q122" s="571"/>
      <c r="R122" s="571"/>
      <c r="S122" s="572"/>
      <c r="T122" s="654"/>
      <c r="U122" s="2567"/>
      <c r="V122" s="2567"/>
      <c r="W122" s="1552"/>
      <c r="X122" s="1552"/>
      <c r="Y122" s="1552"/>
      <c r="Z122" s="1552"/>
      <c r="AA122" s="1552"/>
      <c r="AB122" s="1076"/>
      <c r="AC122" s="1710"/>
      <c r="AD122" s="565"/>
      <c r="AE122" s="1076"/>
      <c r="AF122" s="1076"/>
      <c r="AG122" s="1552"/>
      <c r="AH122" s="1552"/>
      <c r="AI122" s="1552"/>
      <c r="AJ122" s="1552"/>
      <c r="AK122" s="1552"/>
      <c r="AL122" s="1552"/>
      <c r="AM122" s="1552"/>
      <c r="AN122" s="1552"/>
      <c r="AO122" s="1552"/>
      <c r="AP122" s="1552"/>
      <c r="AQ122" s="1552"/>
      <c r="AR122" s="1552"/>
      <c r="AS122" s="1552"/>
      <c r="AT122" s="1552"/>
      <c r="AU122" s="1552"/>
      <c r="AV122" s="1552"/>
      <c r="AW122" s="1552"/>
      <c r="AX122" s="1552"/>
      <c r="AY122" s="1552"/>
      <c r="AZ122" s="1552"/>
      <c r="BA122" s="1552"/>
      <c r="BB122" s="1552"/>
      <c r="BC122" s="1552"/>
      <c r="BD122" s="1552"/>
      <c r="BE122" s="1552"/>
      <c r="BF122" s="1552"/>
      <c r="BG122" s="1552"/>
      <c r="BH122" s="1552"/>
      <c r="BI122" s="1552"/>
      <c r="BJ122" s="1552"/>
      <c r="BK122" s="1552"/>
      <c r="BL122" s="1552"/>
      <c r="BM122" s="1552"/>
      <c r="BN122" s="1552"/>
      <c r="BO122" s="1552"/>
      <c r="BP122" s="1552"/>
      <c r="BQ122" s="1552"/>
      <c r="BR122" s="1552"/>
      <c r="BS122" s="1552"/>
      <c r="BT122" s="1552"/>
      <c r="BU122" s="1552"/>
      <c r="BV122" s="1552"/>
      <c r="BW122" s="1552"/>
      <c r="BX122" s="1552"/>
      <c r="BY122" s="1552"/>
      <c r="BZ122" s="1552"/>
      <c r="CA122" s="1552"/>
      <c r="CB122" s="1552"/>
      <c r="CC122" s="1552"/>
      <c r="CD122" s="1552"/>
      <c r="CE122" s="1552"/>
    </row>
    <row r="123" spans="1:83" s="2398" customFormat="1" ht="11.25" customHeight="1">
      <c r="A123" s="1720"/>
      <c r="B123" s="1076"/>
      <c r="C123" s="348"/>
      <c r="D123" s="2804"/>
      <c r="E123" s="585" t="s">
        <v>22</v>
      </c>
      <c r="F123" s="1084" t="s">
        <v>22</v>
      </c>
      <c r="G123" s="1084" t="s">
        <v>2076</v>
      </c>
      <c r="H123" s="587" t="s">
        <v>22</v>
      </c>
      <c r="I123" s="587"/>
      <c r="J123" s="587"/>
      <c r="K123" s="587"/>
      <c r="L123" s="587"/>
      <c r="M123" s="587"/>
      <c r="N123" s="587"/>
      <c r="O123" s="587"/>
      <c r="P123" s="587"/>
      <c r="Q123" s="587"/>
      <c r="R123" s="588"/>
      <c r="S123" s="589"/>
      <c r="T123" s="654"/>
      <c r="U123" s="2567"/>
      <c r="V123" s="2567"/>
      <c r="W123" s="1076"/>
      <c r="X123" s="1076"/>
      <c r="Y123" s="1076"/>
      <c r="Z123" s="1076"/>
      <c r="AA123" s="1552"/>
      <c r="AB123" s="1076"/>
      <c r="AC123" s="1710"/>
      <c r="AD123" s="565"/>
      <c r="AE123" s="1076"/>
      <c r="AF123" s="1076"/>
      <c r="AG123" s="1552"/>
      <c r="AH123" s="1552"/>
      <c r="AI123" s="1552"/>
      <c r="AJ123" s="1552"/>
      <c r="AK123" s="1552"/>
      <c r="AL123" s="1552"/>
      <c r="AM123" s="1552"/>
      <c r="AN123" s="1552"/>
      <c r="AO123" s="1552"/>
      <c r="AP123" s="1552"/>
      <c r="AQ123" s="1552"/>
      <c r="AR123" s="1552"/>
      <c r="AS123" s="1552"/>
      <c r="AT123" s="1552"/>
      <c r="AU123" s="1552"/>
      <c r="AV123" s="1552"/>
      <c r="AW123" s="1552"/>
      <c r="AX123" s="1552"/>
      <c r="AY123" s="1552"/>
      <c r="AZ123" s="1552"/>
      <c r="BA123" s="1552"/>
      <c r="BB123" s="1552"/>
      <c r="BC123" s="1552"/>
      <c r="BD123" s="1552"/>
      <c r="BE123" s="1552"/>
      <c r="BF123" s="1552"/>
      <c r="BG123" s="1552"/>
      <c r="BH123" s="1552"/>
      <c r="BI123" s="1552"/>
      <c r="BJ123" s="1552"/>
      <c r="BK123" s="1552"/>
      <c r="BL123" s="1552"/>
      <c r="BM123" s="1552"/>
      <c r="BN123" s="1552"/>
      <c r="BO123" s="1552"/>
      <c r="BP123" s="1552"/>
      <c r="BQ123" s="1552"/>
      <c r="BR123" s="1552"/>
      <c r="BS123" s="1552"/>
      <c r="BT123" s="1552"/>
      <c r="BU123" s="1552"/>
      <c r="BV123" s="1076"/>
      <c r="BW123" s="1076"/>
      <c r="BX123" s="1076"/>
      <c r="BY123" s="1076"/>
      <c r="BZ123" s="1076"/>
      <c r="CA123" s="1076"/>
      <c r="CB123" s="1076"/>
      <c r="CC123" s="1076"/>
      <c r="CD123" s="1076"/>
      <c r="CE123" s="1076"/>
    </row>
    <row r="125" spans="1:83" s="2375" customFormat="1" ht="11.25" customHeight="1">
      <c r="A125" s="1729" t="s">
        <v>2077</v>
      </c>
    </row>
    <row r="127" spans="1:83" s="2398" customFormat="1" ht="15" customHeight="1">
      <c r="A127" s="559"/>
      <c r="B127" s="560"/>
      <c r="C127" s="560"/>
      <c r="D127" s="2802" t="s">
        <v>109</v>
      </c>
      <c r="E127" s="2655" t="s">
        <v>105</v>
      </c>
      <c r="F127" s="2656"/>
      <c r="G127" s="2657"/>
      <c r="H127" s="2651" t="str">
        <f>IF(A127="","",INDEX(DIFFERENTIATION_UNMERGE_VD,MATCH(A127,DIFFERENTIATION_ID_DIFF,0)))</f>
        <v/>
      </c>
      <c r="I127" s="2651"/>
      <c r="J127" s="2651"/>
      <c r="K127" s="2651"/>
      <c r="L127" s="2651"/>
      <c r="M127" s="2651"/>
      <c r="N127" s="2651"/>
      <c r="O127" s="2651"/>
      <c r="P127" s="2651"/>
      <c r="Q127" s="2651"/>
      <c r="R127" s="2651"/>
      <c r="S127" s="655"/>
      <c r="T127" s="652"/>
      <c r="U127" s="561"/>
      <c r="V127" s="561"/>
      <c r="W127" s="562"/>
      <c r="X127" s="562"/>
      <c r="Y127" s="562"/>
      <c r="Z127" s="562"/>
      <c r="AA127" s="563"/>
      <c r="AB127" s="564"/>
      <c r="AC127" s="2654"/>
      <c r="AD127" s="565"/>
      <c r="AE127" s="566" t="s">
        <v>22</v>
      </c>
      <c r="AF127" s="566"/>
      <c r="AG127" s="567" t="s">
        <v>696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398" customFormat="1" ht="15" customHeight="1">
      <c r="A128" s="559"/>
      <c r="B128" s="560"/>
      <c r="C128" s="560"/>
      <c r="D128" s="2803"/>
      <c r="E128" s="2655" t="s">
        <v>563</v>
      </c>
      <c r="F128" s="2656"/>
      <c r="G128" s="2657"/>
      <c r="H128" s="2651" t="str">
        <f>IF(A127="","",INDEX(DIFFERENTIATION_UNMERGE_AREA,MATCH(A127,DIFFERENTIATION_ID_DIFF,0)))</f>
        <v/>
      </c>
      <c r="I128" s="2651"/>
      <c r="J128" s="2651"/>
      <c r="K128" s="2651"/>
      <c r="L128" s="2651"/>
      <c r="M128" s="2651"/>
      <c r="N128" s="2651"/>
      <c r="O128" s="2651"/>
      <c r="P128" s="2651"/>
      <c r="Q128" s="2651"/>
      <c r="R128" s="2651"/>
      <c r="S128" s="655"/>
      <c r="T128" s="652"/>
      <c r="U128" s="561"/>
      <c r="V128" s="561"/>
      <c r="W128" s="562"/>
      <c r="X128" s="562"/>
      <c r="Y128" s="562"/>
      <c r="Z128" s="562"/>
      <c r="AA128" s="563"/>
      <c r="AB128" s="564"/>
      <c r="AC128" s="265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398" customFormat="1" ht="15" customHeight="1">
      <c r="A129" s="559"/>
      <c r="B129" s="560"/>
      <c r="C129" s="560"/>
      <c r="D129" s="2803"/>
      <c r="E129" s="2655" t="s">
        <v>564</v>
      </c>
      <c r="F129" s="2656"/>
      <c r="G129" s="2657"/>
      <c r="H129" s="2651" t="str">
        <f>IF(A127="","",INDEX(DIFFERENTIATION_UNMERGE_SYSTEM,MATCH(A127,DIFFERENTIATION_ID_DIFF,0)))</f>
        <v/>
      </c>
      <c r="I129" s="2651"/>
      <c r="J129" s="2651"/>
      <c r="K129" s="2651"/>
      <c r="L129" s="2651"/>
      <c r="M129" s="2651"/>
      <c r="N129" s="2651"/>
      <c r="O129" s="2651"/>
      <c r="P129" s="2651"/>
      <c r="Q129" s="2651"/>
      <c r="R129" s="2651"/>
      <c r="S129" s="655"/>
      <c r="T129" s="652"/>
      <c r="U129" s="561"/>
      <c r="V129" s="561"/>
      <c r="W129" s="562"/>
      <c r="X129" s="562"/>
      <c r="Y129" s="562"/>
      <c r="Z129" s="562"/>
      <c r="AA129" s="563"/>
      <c r="AB129" s="564"/>
      <c r="AC129" s="265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398" customFormat="1" ht="24.75" customHeight="1">
      <c r="A130" s="1720"/>
      <c r="B130" s="1076"/>
      <c r="C130" s="348"/>
      <c r="D130" s="2803"/>
      <c r="E130" s="2653" t="s">
        <v>697</v>
      </c>
      <c r="F130" s="2653"/>
      <c r="G130" s="2653"/>
      <c r="H130" s="2653"/>
      <c r="I130" s="2653"/>
      <c r="J130" s="2653"/>
      <c r="K130" s="2653"/>
      <c r="L130" s="2653"/>
      <c r="M130" s="2653"/>
      <c r="N130" s="2653"/>
      <c r="O130" s="2653"/>
      <c r="P130" s="2653"/>
      <c r="Q130" s="494">
        <f>SUMIF(T131:T132,"i",Q131:Q132)</f>
        <v>0</v>
      </c>
      <c r="R130" s="939"/>
      <c r="S130" s="1712" t="s">
        <v>698</v>
      </c>
      <c r="T130" s="653" t="s">
        <v>699</v>
      </c>
      <c r="U130" s="2567">
        <v>1</v>
      </c>
      <c r="V130" s="2567" t="s">
        <v>578</v>
      </c>
      <c r="W130" s="1076"/>
      <c r="X130" s="1076"/>
      <c r="Y130" s="1076"/>
      <c r="Z130" s="1076"/>
      <c r="AA130" s="1552"/>
      <c r="AB130" s="1076"/>
      <c r="AC130" s="2654"/>
      <c r="AD130" s="565"/>
      <c r="AE130" s="1076"/>
      <c r="AF130" s="1076"/>
      <c r="AG130" s="1552"/>
      <c r="AH130" s="1552"/>
      <c r="AI130" s="1552"/>
      <c r="AJ130" s="1552"/>
      <c r="AK130" s="1552"/>
      <c r="AL130" s="1552"/>
      <c r="AM130" s="1552"/>
      <c r="AN130" s="1552"/>
      <c r="AO130" s="1552"/>
      <c r="AP130" s="1552"/>
      <c r="AQ130" s="1552"/>
      <c r="AR130" s="1552"/>
      <c r="AS130" s="1552"/>
      <c r="AT130" s="1552"/>
      <c r="AU130" s="1552"/>
      <c r="AV130" s="1552"/>
      <c r="AW130" s="1552"/>
      <c r="AX130" s="1552"/>
      <c r="AY130" s="1552"/>
      <c r="AZ130" s="1552"/>
      <c r="BA130" s="1552"/>
      <c r="BB130" s="1552"/>
      <c r="BC130" s="1552"/>
      <c r="BD130" s="1552"/>
      <c r="BE130" s="1552"/>
      <c r="BF130" s="1552"/>
      <c r="BG130" s="1552"/>
      <c r="BH130" s="1552"/>
      <c r="BI130" s="1552"/>
      <c r="BJ130" s="1552"/>
      <c r="BK130" s="1552"/>
      <c r="BL130" s="1552"/>
      <c r="BM130" s="1552"/>
      <c r="BN130" s="1552"/>
      <c r="BO130" s="1552"/>
      <c r="BP130" s="1552"/>
      <c r="BQ130" s="1552"/>
      <c r="BR130" s="1552"/>
      <c r="BS130" s="1552"/>
      <c r="BT130" s="1552"/>
      <c r="BU130" s="1552"/>
      <c r="BV130" s="1076"/>
      <c r="BW130" s="1076"/>
      <c r="BX130" s="1076"/>
      <c r="BY130" s="1076"/>
      <c r="BZ130" s="1076"/>
      <c r="CA130" s="1076"/>
      <c r="CB130" s="1076"/>
      <c r="CC130" s="1076"/>
      <c r="CD130" s="1076"/>
      <c r="CE130" s="1076"/>
    </row>
    <row r="131" spans="1:83" s="2398" customFormat="1" ht="11.25" hidden="1" customHeight="1">
      <c r="A131" s="1707"/>
      <c r="B131" s="1552"/>
      <c r="C131" s="1552"/>
      <c r="D131" s="2803"/>
      <c r="E131" s="571"/>
      <c r="F131" s="571">
        <v>0</v>
      </c>
      <c r="G131" s="571"/>
      <c r="H131" s="571"/>
      <c r="I131" s="571"/>
      <c r="J131" s="571"/>
      <c r="K131" s="571"/>
      <c r="L131" s="571"/>
      <c r="M131" s="571"/>
      <c r="N131" s="571"/>
      <c r="O131" s="571"/>
      <c r="P131" s="571"/>
      <c r="Q131" s="571"/>
      <c r="R131" s="571"/>
      <c r="S131" s="572"/>
      <c r="T131" s="654"/>
      <c r="U131" s="2567"/>
      <c r="V131" s="2567"/>
      <c r="W131" s="1552"/>
      <c r="X131" s="1552"/>
      <c r="Y131" s="1552"/>
      <c r="Z131" s="1552"/>
      <c r="AA131" s="1552"/>
      <c r="AB131" s="1076"/>
      <c r="AC131" s="2654"/>
      <c r="AD131" s="565"/>
      <c r="AE131" s="1076"/>
      <c r="AF131" s="1076"/>
      <c r="AG131" s="1552"/>
      <c r="AH131" s="1552"/>
      <c r="AI131" s="1552"/>
      <c r="AJ131" s="1552"/>
      <c r="AK131" s="1552"/>
      <c r="AL131" s="1552"/>
      <c r="AM131" s="1552"/>
      <c r="AN131" s="1552"/>
      <c r="AO131" s="1552"/>
      <c r="AP131" s="1552"/>
      <c r="AQ131" s="1552"/>
      <c r="AR131" s="1552"/>
      <c r="AS131" s="1552"/>
      <c r="AT131" s="1552"/>
      <c r="AU131" s="1552"/>
      <c r="AV131" s="1552"/>
      <c r="AW131" s="1552"/>
      <c r="AX131" s="1552"/>
      <c r="AY131" s="1552"/>
      <c r="AZ131" s="1552"/>
      <c r="BA131" s="1552"/>
      <c r="BB131" s="1552"/>
      <c r="BC131" s="1552"/>
      <c r="BD131" s="1552"/>
      <c r="BE131" s="1552"/>
      <c r="BF131" s="1552"/>
      <c r="BG131" s="1552"/>
      <c r="BH131" s="1552"/>
      <c r="BI131" s="1552"/>
      <c r="BJ131" s="1552"/>
      <c r="BK131" s="1552"/>
      <c r="BL131" s="1552"/>
      <c r="BM131" s="1552"/>
      <c r="BN131" s="1552"/>
      <c r="BO131" s="1552"/>
      <c r="BP131" s="1552"/>
      <c r="BQ131" s="1552"/>
      <c r="BR131" s="1552"/>
      <c r="BS131" s="1552"/>
      <c r="BT131" s="1552"/>
      <c r="BU131" s="1552"/>
      <c r="BV131" s="1552"/>
      <c r="BW131" s="1552"/>
      <c r="BX131" s="1552"/>
      <c r="BY131" s="1552"/>
      <c r="BZ131" s="1552"/>
      <c r="CA131" s="1552"/>
      <c r="CB131" s="1552"/>
      <c r="CC131" s="1552"/>
      <c r="CD131" s="1552"/>
      <c r="CE131" s="1552"/>
    </row>
    <row r="132" spans="1:83" s="2398" customFormat="1" ht="11.25" customHeight="1">
      <c r="A132" s="1720"/>
      <c r="B132" s="1076"/>
      <c r="C132" s="348"/>
      <c r="D132" s="2803"/>
      <c r="E132" s="585" t="s">
        <v>22</v>
      </c>
      <c r="F132" s="1084" t="s">
        <v>22</v>
      </c>
      <c r="G132" s="1084" t="s">
        <v>2076</v>
      </c>
      <c r="H132" s="587" t="s">
        <v>22</v>
      </c>
      <c r="I132" s="587"/>
      <c r="J132" s="587"/>
      <c r="K132" s="587"/>
      <c r="L132" s="587"/>
      <c r="M132" s="587"/>
      <c r="N132" s="587"/>
      <c r="O132" s="587"/>
      <c r="P132" s="587"/>
      <c r="Q132" s="587"/>
      <c r="R132" s="588"/>
      <c r="S132" s="589"/>
      <c r="T132" s="654"/>
      <c r="U132" s="2567"/>
      <c r="V132" s="2567"/>
      <c r="W132" s="1076"/>
      <c r="X132" s="1076"/>
      <c r="Y132" s="1076"/>
      <c r="Z132" s="1076"/>
      <c r="AA132" s="1552"/>
      <c r="AB132" s="1076"/>
      <c r="AC132" s="2654"/>
      <c r="AD132" s="565"/>
      <c r="AE132" s="1076"/>
      <c r="AF132" s="1076"/>
      <c r="AG132" s="1552"/>
      <c r="AH132" s="1552"/>
      <c r="AI132" s="1552"/>
      <c r="AJ132" s="1552"/>
      <c r="AK132" s="1552"/>
      <c r="AL132" s="1552"/>
      <c r="AM132" s="1552"/>
      <c r="AN132" s="1552"/>
      <c r="AO132" s="1552"/>
      <c r="AP132" s="1552"/>
      <c r="AQ132" s="1552"/>
      <c r="AR132" s="1552"/>
      <c r="AS132" s="1552"/>
      <c r="AT132" s="1552"/>
      <c r="AU132" s="1552"/>
      <c r="AV132" s="1552"/>
      <c r="AW132" s="1552"/>
      <c r="AX132" s="1552"/>
      <c r="AY132" s="1552"/>
      <c r="AZ132" s="1552"/>
      <c r="BA132" s="1552"/>
      <c r="BB132" s="1552"/>
      <c r="BC132" s="1552"/>
      <c r="BD132" s="1552"/>
      <c r="BE132" s="1552"/>
      <c r="BF132" s="1552"/>
      <c r="BG132" s="1552"/>
      <c r="BH132" s="1552"/>
      <c r="BI132" s="1552"/>
      <c r="BJ132" s="1552"/>
      <c r="BK132" s="1552"/>
      <c r="BL132" s="1552"/>
      <c r="BM132" s="1552"/>
      <c r="BN132" s="1552"/>
      <c r="BO132" s="1552"/>
      <c r="BP132" s="1552"/>
      <c r="BQ132" s="1552"/>
      <c r="BR132" s="1552"/>
      <c r="BS132" s="1552"/>
      <c r="BT132" s="1552"/>
      <c r="BU132" s="1552"/>
      <c r="BV132" s="1076"/>
      <c r="BW132" s="1076"/>
      <c r="BX132" s="1076"/>
      <c r="BY132" s="1076"/>
      <c r="BZ132" s="1076"/>
      <c r="CA132" s="1076"/>
      <c r="CB132" s="1076"/>
      <c r="CC132" s="1076"/>
      <c r="CD132" s="1076"/>
      <c r="CE132" s="1076"/>
    </row>
    <row r="133" spans="1:83" s="2391" customFormat="1" ht="5.25" hidden="1" customHeight="1">
      <c r="A133" s="1707"/>
      <c r="B133" s="1552"/>
      <c r="C133" s="1552"/>
      <c r="D133" s="2803"/>
      <c r="E133" s="961"/>
      <c r="F133" s="961"/>
      <c r="G133" s="961"/>
      <c r="H133" s="961"/>
      <c r="I133" s="961"/>
      <c r="J133" s="961"/>
      <c r="K133" s="961"/>
      <c r="L133" s="961"/>
      <c r="M133" s="961"/>
      <c r="N133" s="961"/>
      <c r="O133" s="961"/>
      <c r="P133" s="961"/>
      <c r="Q133" s="962"/>
      <c r="R133" s="963"/>
      <c r="S133" s="964"/>
      <c r="T133" s="653" t="s">
        <v>699</v>
      </c>
      <c r="U133" s="2567">
        <v>1</v>
      </c>
      <c r="V133" s="2567" t="s">
        <v>578</v>
      </c>
      <c r="W133" s="1552"/>
      <c r="X133" s="1552"/>
      <c r="Y133" s="1552"/>
      <c r="Z133" s="1552"/>
      <c r="AA133" s="1552"/>
      <c r="AB133" s="1552"/>
      <c r="AC133" s="959"/>
      <c r="AD133" s="960"/>
      <c r="AE133" s="1552"/>
      <c r="AF133" s="1552"/>
      <c r="AG133" s="1552"/>
      <c r="AH133" s="1552"/>
      <c r="AI133" s="1552"/>
      <c r="AJ133" s="1552"/>
      <c r="AK133" s="1552"/>
      <c r="AL133" s="1552"/>
      <c r="AM133" s="1552"/>
      <c r="AN133" s="1552"/>
      <c r="AO133" s="1552"/>
      <c r="AP133" s="1552"/>
      <c r="AQ133" s="1552"/>
      <c r="AR133" s="1552"/>
      <c r="AS133" s="1552"/>
      <c r="AT133" s="1552"/>
      <c r="AU133" s="1552"/>
      <c r="AV133" s="1552"/>
      <c r="AW133" s="1552"/>
      <c r="AX133" s="1552"/>
      <c r="AY133" s="1552"/>
      <c r="AZ133" s="1552"/>
      <c r="BA133" s="1552"/>
      <c r="BB133" s="1552"/>
      <c r="BC133" s="1552"/>
      <c r="BD133" s="1552"/>
      <c r="BE133" s="1552"/>
      <c r="BF133" s="1552"/>
      <c r="BG133" s="1552"/>
      <c r="BH133" s="1552"/>
      <c r="BI133" s="1552"/>
      <c r="BJ133" s="1552"/>
      <c r="BK133" s="1552"/>
      <c r="BL133" s="1552"/>
      <c r="BM133" s="1552"/>
      <c r="BN133" s="1552"/>
      <c r="BO133" s="1552"/>
      <c r="BP133" s="1552"/>
      <c r="BQ133" s="1552"/>
      <c r="BR133" s="1552"/>
      <c r="BS133" s="1552"/>
      <c r="BT133" s="1552"/>
      <c r="BU133" s="1552"/>
      <c r="BV133" s="1552"/>
      <c r="BW133" s="1552"/>
      <c r="BX133" s="1552"/>
      <c r="BY133" s="1552"/>
      <c r="BZ133" s="1552"/>
      <c r="CA133" s="1552"/>
      <c r="CB133" s="1552"/>
      <c r="CC133" s="1552"/>
      <c r="CD133" s="1552"/>
      <c r="CE133" s="1552"/>
    </row>
    <row r="134" spans="1:83" s="2391" customFormat="1" ht="5.25" hidden="1" customHeight="1">
      <c r="A134" s="1707"/>
      <c r="B134" s="1552"/>
      <c r="C134" s="1552"/>
      <c r="D134" s="2803"/>
      <c r="E134" s="571"/>
      <c r="F134" s="571"/>
      <c r="G134" s="571"/>
      <c r="H134" s="571"/>
      <c r="I134" s="571"/>
      <c r="J134" s="571"/>
      <c r="K134" s="571"/>
      <c r="L134" s="571"/>
      <c r="M134" s="571"/>
      <c r="N134" s="571"/>
      <c r="O134" s="571"/>
      <c r="P134" s="571"/>
      <c r="Q134" s="571"/>
      <c r="R134" s="571"/>
      <c r="S134" s="572"/>
      <c r="T134" s="654"/>
      <c r="U134" s="2567"/>
      <c r="V134" s="2567"/>
      <c r="W134" s="1552"/>
      <c r="X134" s="1552"/>
      <c r="Y134" s="1552"/>
      <c r="Z134" s="1552"/>
      <c r="AA134" s="1552"/>
      <c r="AB134" s="1552"/>
      <c r="AC134" s="959"/>
      <c r="AD134" s="960"/>
      <c r="AE134" s="1552"/>
      <c r="AF134" s="1552"/>
      <c r="AG134" s="1552"/>
      <c r="AH134" s="1552"/>
      <c r="AI134" s="1552"/>
      <c r="AJ134" s="1552"/>
      <c r="AK134" s="1552"/>
      <c r="AL134" s="1552"/>
      <c r="AM134" s="1552"/>
      <c r="AN134" s="1552"/>
      <c r="AO134" s="1552"/>
      <c r="AP134" s="1552"/>
      <c r="AQ134" s="1552"/>
      <c r="AR134" s="1552"/>
      <c r="AS134" s="1552"/>
      <c r="AT134" s="1552"/>
      <c r="AU134" s="1552"/>
      <c r="AV134" s="1552"/>
      <c r="AW134" s="1552"/>
      <c r="AX134" s="1552"/>
      <c r="AY134" s="1552"/>
      <c r="AZ134" s="1552"/>
      <c r="BA134" s="1552"/>
      <c r="BB134" s="1552"/>
      <c r="BC134" s="1552"/>
      <c r="BD134" s="1552"/>
      <c r="BE134" s="1552"/>
      <c r="BF134" s="1552"/>
      <c r="BG134" s="1552"/>
      <c r="BH134" s="1552"/>
      <c r="BI134" s="1552"/>
      <c r="BJ134" s="1552"/>
      <c r="BK134" s="1552"/>
      <c r="BL134" s="1552"/>
      <c r="BM134" s="1552"/>
      <c r="BN134" s="1552"/>
      <c r="BO134" s="1552"/>
      <c r="BP134" s="1552"/>
      <c r="BQ134" s="1552"/>
      <c r="BR134" s="1552"/>
      <c r="BS134" s="1552"/>
      <c r="BT134" s="1552"/>
      <c r="BU134" s="1552"/>
      <c r="BV134" s="1552"/>
      <c r="BW134" s="1552"/>
      <c r="BX134" s="1552"/>
      <c r="BY134" s="1552"/>
      <c r="BZ134" s="1552"/>
      <c r="CA134" s="1552"/>
      <c r="CB134" s="1552"/>
      <c r="CC134" s="1552"/>
      <c r="CD134" s="1552"/>
      <c r="CE134" s="1552"/>
    </row>
    <row r="135" spans="1:83" s="2391" customFormat="1" ht="5.25" hidden="1" customHeight="1">
      <c r="A135" s="1707"/>
      <c r="B135" s="1552"/>
      <c r="C135" s="1552"/>
      <c r="D135" s="2804"/>
      <c r="E135" s="965"/>
      <c r="F135" s="966"/>
      <c r="G135" s="966"/>
      <c r="H135" s="967"/>
      <c r="I135" s="967"/>
      <c r="J135" s="967"/>
      <c r="K135" s="967"/>
      <c r="L135" s="967"/>
      <c r="M135" s="967"/>
      <c r="N135" s="967"/>
      <c r="O135" s="967"/>
      <c r="P135" s="967"/>
      <c r="Q135" s="967"/>
      <c r="R135" s="871"/>
      <c r="S135" s="968"/>
      <c r="T135" s="654"/>
      <c r="U135" s="2567"/>
      <c r="V135" s="2567"/>
      <c r="W135" s="1552"/>
      <c r="X135" s="1552"/>
      <c r="Y135" s="1552"/>
      <c r="Z135" s="1552"/>
      <c r="AA135" s="1552"/>
      <c r="AB135" s="1552"/>
      <c r="AC135" s="959"/>
      <c r="AD135" s="960"/>
      <c r="AE135" s="1552"/>
      <c r="AF135" s="1552"/>
      <c r="AG135" s="1552"/>
      <c r="AH135" s="1552"/>
      <c r="AI135" s="1552"/>
      <c r="AJ135" s="1552"/>
      <c r="AK135" s="1552"/>
      <c r="AL135" s="1552"/>
      <c r="AM135" s="1552"/>
      <c r="AN135" s="1552"/>
      <c r="AO135" s="1552"/>
      <c r="AP135" s="1552"/>
      <c r="AQ135" s="1552"/>
      <c r="AR135" s="1552"/>
      <c r="AS135" s="1552"/>
      <c r="AT135" s="1552"/>
      <c r="AU135" s="1552"/>
      <c r="AV135" s="1552"/>
      <c r="AW135" s="1552"/>
      <c r="AX135" s="1552"/>
      <c r="AY135" s="1552"/>
      <c r="AZ135" s="1552"/>
      <c r="BA135" s="1552"/>
      <c r="BB135" s="1552"/>
      <c r="BC135" s="1552"/>
      <c r="BD135" s="1552"/>
      <c r="BE135" s="1552"/>
      <c r="BF135" s="1552"/>
      <c r="BG135" s="1552"/>
      <c r="BH135" s="1552"/>
      <c r="BI135" s="1552"/>
      <c r="BJ135" s="1552"/>
      <c r="BK135" s="1552"/>
      <c r="BL135" s="1552"/>
      <c r="BM135" s="1552"/>
      <c r="BN135" s="1552"/>
      <c r="BO135" s="1552"/>
      <c r="BP135" s="1552"/>
      <c r="BQ135" s="1552"/>
      <c r="BR135" s="1552"/>
      <c r="BS135" s="1552"/>
      <c r="BT135" s="1552"/>
      <c r="BU135" s="1552"/>
      <c r="BV135" s="1552"/>
      <c r="BW135" s="1552"/>
      <c r="BX135" s="1552"/>
      <c r="BY135" s="1552"/>
      <c r="BZ135" s="1552"/>
      <c r="CA135" s="1552"/>
      <c r="CB135" s="1552"/>
      <c r="CC135" s="1552"/>
      <c r="CD135" s="1552"/>
      <c r="CE135" s="1552"/>
    </row>
    <row r="136" spans="1:83" ht="17.25" customHeight="1">
      <c r="D136" s="1748"/>
    </row>
    <row r="137" spans="1:83" s="2375" customFormat="1" ht="11.25" customHeight="1">
      <c r="A137" s="1729" t="s">
        <v>2078</v>
      </c>
    </row>
    <row r="139" spans="1:83" s="2398" customFormat="1" ht="45" customHeight="1">
      <c r="A139" s="1720"/>
      <c r="B139" s="1076"/>
      <c r="C139" s="348"/>
      <c r="D139" s="29"/>
      <c r="E139" s="2807"/>
      <c r="F139" s="2446" t="s">
        <v>109</v>
      </c>
      <c r="G139" s="2810" t="s">
        <v>22</v>
      </c>
      <c r="H139" s="226"/>
      <c r="I139" s="573" t="s">
        <v>109</v>
      </c>
      <c r="J139" s="1721" t="s">
        <v>2079</v>
      </c>
      <c r="K139" s="574" t="s">
        <v>545</v>
      </c>
      <c r="L139" s="2530" t="s">
        <v>545</v>
      </c>
      <c r="M139" s="2492"/>
      <c r="N139" s="574" t="s">
        <v>545</v>
      </c>
      <c r="O139" s="574" t="s">
        <v>545</v>
      </c>
      <c r="P139" s="574" t="s">
        <v>545</v>
      </c>
      <c r="Q139" s="575">
        <f>SUM(Q140:Q142)</f>
        <v>0</v>
      </c>
      <c r="R139" s="575">
        <f>IF(R136=0,0,(Q136/R136)*100)</f>
        <v>0</v>
      </c>
      <c r="S139" s="2504"/>
      <c r="T139" s="653" t="s">
        <v>699</v>
      </c>
      <c r="U139" s="29"/>
      <c r="V139" s="29"/>
      <c r="AC139" s="29"/>
    </row>
    <row r="140" spans="1:83" s="2398" customFormat="1" ht="11.25" customHeight="1">
      <c r="A140" s="1720"/>
      <c r="B140" s="1076"/>
      <c r="C140" s="348"/>
      <c r="D140" s="29"/>
      <c r="E140" s="2808"/>
      <c r="F140" s="2446"/>
      <c r="G140" s="2810"/>
      <c r="H140" s="2435"/>
      <c r="I140" s="2706" t="s">
        <v>1179</v>
      </c>
      <c r="J140" s="2805"/>
      <c r="K140" s="2806"/>
      <c r="L140" s="576"/>
      <c r="M140" s="577" t="s">
        <v>109</v>
      </c>
      <c r="N140" s="1709"/>
      <c r="O140" s="578"/>
      <c r="P140" s="579"/>
      <c r="Q140" s="578"/>
      <c r="R140" s="580">
        <v>0</v>
      </c>
      <c r="S140" s="2504"/>
      <c r="T140" s="653"/>
      <c r="U140" s="29"/>
      <c r="V140" s="29"/>
      <c r="AC140" s="29"/>
    </row>
    <row r="141" spans="1:83" s="2398" customFormat="1" ht="11.25" customHeight="1">
      <c r="A141" s="1720"/>
      <c r="B141" s="1076"/>
      <c r="C141" s="348"/>
      <c r="D141" s="29"/>
      <c r="E141" s="2808"/>
      <c r="F141" s="2446"/>
      <c r="G141" s="2810"/>
      <c r="H141" s="2435"/>
      <c r="I141" s="2706"/>
      <c r="J141" s="2805"/>
      <c r="K141" s="2799"/>
      <c r="L141" s="581"/>
      <c r="M141" s="582"/>
      <c r="N141" s="583" t="s">
        <v>2080</v>
      </c>
      <c r="O141" s="583"/>
      <c r="P141" s="583"/>
      <c r="Q141" s="583"/>
      <c r="R141" s="584"/>
      <c r="S141" s="2504"/>
      <c r="T141" s="653"/>
      <c r="U141" s="29"/>
      <c r="V141" s="29"/>
      <c r="AC141" s="29"/>
    </row>
    <row r="142" spans="1:83" s="2398" customFormat="1" ht="11.25" customHeight="1">
      <c r="A142" s="1720"/>
      <c r="B142" s="1076"/>
      <c r="C142" s="348"/>
      <c r="D142" s="29"/>
      <c r="E142" s="2809"/>
      <c r="F142" s="2446"/>
      <c r="G142" s="2811"/>
      <c r="H142" s="581" t="s">
        <v>22</v>
      </c>
      <c r="I142" s="582"/>
      <c r="J142" s="583" t="s">
        <v>2081</v>
      </c>
      <c r="K142" s="583"/>
      <c r="L142" s="583"/>
      <c r="M142" s="583"/>
      <c r="N142" s="583"/>
      <c r="O142" s="583"/>
      <c r="P142" s="583"/>
      <c r="Q142" s="583"/>
      <c r="R142" s="584"/>
      <c r="S142" s="2504"/>
      <c r="T142" s="653"/>
      <c r="U142" s="29"/>
      <c r="V142" s="29"/>
      <c r="AC142" s="29"/>
    </row>
    <row r="147" spans="1:43" s="2398" customFormat="1" ht="11.25" customHeight="1">
      <c r="A147" s="1720"/>
      <c r="B147" s="1076"/>
      <c r="C147" s="348"/>
      <c r="D147" s="29"/>
      <c r="E147" s="1742"/>
      <c r="F147" s="1742"/>
      <c r="G147" s="1742"/>
      <c r="H147" s="2435"/>
      <c r="I147" s="2706" t="s">
        <v>1179</v>
      </c>
      <c r="J147" s="2805"/>
      <c r="K147" s="2806"/>
      <c r="L147" s="576"/>
      <c r="M147" s="577" t="s">
        <v>109</v>
      </c>
      <c r="N147" s="1709"/>
      <c r="O147" s="578"/>
      <c r="P147" s="579"/>
      <c r="Q147" s="578"/>
      <c r="R147" s="580">
        <v>0</v>
      </c>
      <c r="S147" s="29"/>
      <c r="T147" s="653"/>
      <c r="U147" s="29"/>
      <c r="V147" s="29"/>
      <c r="AC147" s="29"/>
    </row>
    <row r="148" spans="1:43" s="2398" customFormat="1" ht="11.25" customHeight="1">
      <c r="A148" s="1720"/>
      <c r="B148" s="1076"/>
      <c r="C148" s="348"/>
      <c r="D148" s="29"/>
      <c r="E148" s="1742"/>
      <c r="F148" s="1742"/>
      <c r="G148" s="1742"/>
      <c r="H148" s="2435"/>
      <c r="I148" s="2706"/>
      <c r="J148" s="2805"/>
      <c r="K148" s="2799"/>
      <c r="L148" s="581"/>
      <c r="M148" s="582"/>
      <c r="N148" s="583" t="s">
        <v>2080</v>
      </c>
      <c r="O148" s="583"/>
      <c r="P148" s="583"/>
      <c r="Q148" s="583"/>
      <c r="R148" s="584"/>
      <c r="S148" s="29"/>
      <c r="T148" s="653"/>
      <c r="U148" s="29"/>
      <c r="V148" s="29"/>
      <c r="AC148" s="29"/>
    </row>
    <row r="150" spans="1:43" s="2398" customFormat="1" ht="11.25" customHeight="1">
      <c r="A150" s="1720"/>
      <c r="B150" s="1076"/>
      <c r="C150" s="348"/>
      <c r="D150" s="29"/>
      <c r="E150" s="1749"/>
      <c r="F150" s="1747"/>
      <c r="G150" s="1747"/>
      <c r="H150" s="1750"/>
      <c r="I150" s="1742"/>
      <c r="J150" s="1743"/>
      <c r="K150" s="1743"/>
      <c r="L150" s="576"/>
      <c r="M150" s="577" t="s">
        <v>109</v>
      </c>
      <c r="N150" s="1709"/>
      <c r="O150" s="578"/>
      <c r="P150" s="579"/>
      <c r="Q150" s="578"/>
      <c r="R150" s="580">
        <v>0</v>
      </c>
      <c r="S150" s="29"/>
      <c r="T150" s="653"/>
      <c r="U150" s="29"/>
      <c r="V150" s="29"/>
      <c r="AC150" s="29"/>
    </row>
    <row r="152" spans="1:43" s="2375" customFormat="1" ht="17.25" customHeight="1">
      <c r="A152" s="1729" t="s">
        <v>2082</v>
      </c>
    </row>
    <row r="153" spans="1:43" ht="17.25" customHeight="1">
      <c r="G153" s="1751"/>
      <c r="H153" s="1751"/>
      <c r="I153" s="1751"/>
      <c r="M153" s="1747"/>
    </row>
    <row r="154" spans="1:43" s="2380" customFormat="1" ht="17.25" customHeight="1">
      <c r="A154" s="1752"/>
      <c r="C154" s="1754"/>
      <c r="D154" s="2798"/>
      <c r="E154" s="2457"/>
      <c r="F154" s="2470"/>
      <c r="G154" s="2800"/>
      <c r="H154" s="2798"/>
      <c r="I154" s="2798">
        <v>1</v>
      </c>
      <c r="J154" s="2814"/>
      <c r="K154" s="2507" t="s">
        <v>62</v>
      </c>
      <c r="L154" s="2446"/>
      <c r="M154" s="2446" t="s">
        <v>109</v>
      </c>
      <c r="N154" s="2812" t="str">
        <f>IF(Z154="","",INDEX(TERRITORY_MR_LIST,MATCH(Z154,TERRITORY_LIST_ID,0)))</f>
        <v/>
      </c>
      <c r="O154" s="2507" t="s">
        <v>62</v>
      </c>
      <c r="P154" s="2446"/>
      <c r="Q154" s="2446" t="s">
        <v>109</v>
      </c>
      <c r="R154" s="2799" t="s">
        <v>22</v>
      </c>
      <c r="S154" s="2445" t="s">
        <v>62</v>
      </c>
      <c r="T154" s="1725"/>
      <c r="U154" s="1725" t="s">
        <v>109</v>
      </c>
      <c r="V154" s="1755" t="s">
        <v>22</v>
      </c>
      <c r="W154" s="1715"/>
      <c r="Y154" s="1183"/>
      <c r="Z154" s="1183"/>
      <c r="AA154" s="1183"/>
      <c r="AB154" s="1183"/>
      <c r="AC154" s="1183"/>
      <c r="AD154" s="1183"/>
      <c r="AE154" s="1183"/>
      <c r="AF154" s="1183"/>
      <c r="AG154" s="1183"/>
      <c r="AH154" s="1183"/>
      <c r="AI154" s="1183"/>
      <c r="AJ154" s="1183"/>
      <c r="AK154" s="1183"/>
      <c r="AL154" s="1756"/>
      <c r="AM154" s="1756"/>
      <c r="AN154" s="1183"/>
      <c r="AO154" s="1183"/>
      <c r="AP154" s="1183"/>
      <c r="AQ154" s="1183"/>
    </row>
    <row r="155" spans="1:43" s="2380" customFormat="1" ht="17.25" customHeight="1">
      <c r="A155" s="1752"/>
      <c r="C155" s="1757"/>
      <c r="D155" s="2798"/>
      <c r="E155" s="2457"/>
      <c r="F155" s="2471"/>
      <c r="G155" s="2800"/>
      <c r="H155" s="2798"/>
      <c r="I155" s="2798"/>
      <c r="J155" s="2814"/>
      <c r="K155" s="2508"/>
      <c r="L155" s="2446"/>
      <c r="M155" s="2446"/>
      <c r="N155" s="2812"/>
      <c r="O155" s="2508"/>
      <c r="P155" s="2446"/>
      <c r="Q155" s="2446"/>
      <c r="R155" s="2799"/>
      <c r="S155" s="2445"/>
      <c r="T155" s="254"/>
      <c r="U155" s="255"/>
      <c r="V155" s="255" t="s">
        <v>413</v>
      </c>
      <c r="W155" s="256"/>
      <c r="Y155" s="1175"/>
      <c r="Z155" s="1175"/>
      <c r="AA155" s="1175"/>
      <c r="AB155" s="1175"/>
      <c r="AC155" s="1175"/>
      <c r="AD155" s="1175"/>
      <c r="AE155" s="1175"/>
      <c r="AF155" s="1175"/>
      <c r="AG155" s="1175"/>
      <c r="AH155" s="1175"/>
      <c r="AI155" s="1175"/>
      <c r="AJ155" s="1175"/>
      <c r="AK155" s="1175"/>
    </row>
    <row r="156" spans="1:43" s="2380" customFormat="1" ht="17.25" customHeight="1">
      <c r="A156" s="1752"/>
      <c r="C156" s="1757"/>
      <c r="D156" s="2469"/>
      <c r="E156" s="2458"/>
      <c r="F156" s="2471"/>
      <c r="G156" s="2801"/>
      <c r="H156" s="2469"/>
      <c r="I156" s="2469"/>
      <c r="J156" s="2815"/>
      <c r="K156" s="2508"/>
      <c r="L156" s="2469"/>
      <c r="M156" s="2469"/>
      <c r="N156" s="2813"/>
      <c r="O156" s="2450"/>
      <c r="P156" s="254"/>
      <c r="Q156" s="255"/>
      <c r="R156" s="255" t="s">
        <v>414</v>
      </c>
      <c r="S156" s="1758"/>
      <c r="T156" s="1758"/>
      <c r="U156" s="1758"/>
      <c r="V156" s="1758"/>
      <c r="W156" s="256"/>
      <c r="Y156" s="1175"/>
      <c r="Z156" s="1175"/>
      <c r="AA156" s="1175"/>
      <c r="AB156" s="1175"/>
      <c r="AC156" s="1175"/>
      <c r="AD156" s="1175"/>
      <c r="AE156" s="1175"/>
      <c r="AF156" s="1175"/>
      <c r="AG156" s="1175"/>
      <c r="AH156" s="1175"/>
      <c r="AI156" s="1175"/>
      <c r="AJ156" s="1175"/>
      <c r="AK156" s="1175"/>
    </row>
    <row r="157" spans="1:43" s="2380" customFormat="1" ht="17.25" customHeight="1">
      <c r="A157" s="1752"/>
      <c r="C157" s="1757"/>
      <c r="D157" s="2469"/>
      <c r="E157" s="2458"/>
      <c r="F157" s="2471"/>
      <c r="G157" s="2801"/>
      <c r="H157" s="2469"/>
      <c r="I157" s="2469"/>
      <c r="J157" s="2815"/>
      <c r="K157" s="2450"/>
      <c r="L157" s="254"/>
      <c r="M157" s="255"/>
      <c r="N157" s="255" t="s">
        <v>415</v>
      </c>
      <c r="O157" s="255"/>
      <c r="P157" s="255"/>
      <c r="Q157" s="255"/>
      <c r="R157" s="255"/>
      <c r="S157" s="1758"/>
      <c r="T157" s="1758"/>
      <c r="U157" s="1758"/>
      <c r="V157" s="1758"/>
      <c r="W157" s="256"/>
      <c r="Y157" s="1175"/>
      <c r="Z157" s="1175"/>
      <c r="AA157" s="1175"/>
      <c r="AB157" s="1175"/>
      <c r="AC157" s="1175"/>
      <c r="AD157" s="1175"/>
      <c r="AE157" s="1175"/>
      <c r="AF157" s="1175"/>
      <c r="AG157" s="1175"/>
      <c r="AH157" s="1175"/>
      <c r="AI157" s="1175"/>
      <c r="AJ157" s="1175"/>
      <c r="AK157" s="1175"/>
    </row>
    <row r="158" spans="1:43" s="2380" customFormat="1" ht="17.25" customHeight="1">
      <c r="A158" s="1752"/>
      <c r="C158" s="1757"/>
      <c r="D158" s="2469"/>
      <c r="E158" s="2458"/>
      <c r="F158" s="2472"/>
      <c r="G158" s="2801"/>
      <c r="H158" s="254"/>
      <c r="I158" s="255"/>
      <c r="J158" s="255" t="s">
        <v>447</v>
      </c>
      <c r="K158" s="255"/>
      <c r="L158" s="255"/>
      <c r="M158" s="255"/>
      <c r="N158" s="255"/>
      <c r="O158" s="255"/>
      <c r="P158" s="255"/>
      <c r="Q158" s="255"/>
      <c r="R158" s="255"/>
      <c r="S158" s="1758"/>
      <c r="T158" s="1758"/>
      <c r="U158" s="1758"/>
      <c r="V158" s="1758"/>
      <c r="W158" s="256"/>
      <c r="Y158" s="1175"/>
      <c r="Z158" s="1175"/>
      <c r="AA158" s="1175"/>
      <c r="AB158" s="1175"/>
      <c r="AC158" s="1175"/>
      <c r="AD158" s="1175"/>
      <c r="AE158" s="1175"/>
      <c r="AF158" s="1175"/>
      <c r="AG158" s="1175"/>
      <c r="AH158" s="1175"/>
      <c r="AI158" s="1175"/>
      <c r="AJ158" s="1175"/>
      <c r="AK158" s="1175"/>
    </row>
    <row r="159" spans="1:43" ht="17.25" customHeight="1">
      <c r="G159" s="1751"/>
      <c r="H159" s="1751"/>
      <c r="I159" s="1751"/>
      <c r="M159" s="1747"/>
    </row>
    <row r="160" spans="1:43" s="2380" customFormat="1" ht="17.25" customHeight="1">
      <c r="A160" s="1752"/>
      <c r="C160" s="1754"/>
      <c r="D160" s="1742"/>
      <c r="E160" s="1759"/>
      <c r="F160" s="1698"/>
      <c r="G160" s="1760"/>
      <c r="H160" s="2798"/>
      <c r="I160" s="2798">
        <v>1</v>
      </c>
      <c r="J160" s="2814"/>
      <c r="K160" s="2507" t="s">
        <v>62</v>
      </c>
      <c r="L160" s="2446"/>
      <c r="M160" s="2446" t="s">
        <v>109</v>
      </c>
      <c r="N160" s="2812" t="str">
        <f>IF(Z160="","",INDEX(TERRITORY_MR_LIST,MATCH(Z160,TERRITORY_LIST_ID,0)))</f>
        <v/>
      </c>
      <c r="O160" s="2507" t="s">
        <v>62</v>
      </c>
      <c r="P160" s="2446"/>
      <c r="Q160" s="2446" t="s">
        <v>109</v>
      </c>
      <c r="R160" s="2799" t="s">
        <v>22</v>
      </c>
      <c r="S160" s="2445" t="s">
        <v>62</v>
      </c>
      <c r="T160" s="1725"/>
      <c r="U160" s="1725" t="s">
        <v>109</v>
      </c>
      <c r="V160" s="1755" t="s">
        <v>22</v>
      </c>
      <c r="W160" s="1715"/>
      <c r="Y160" s="1183"/>
      <c r="Z160" s="1183"/>
      <c r="AA160" s="1183"/>
      <c r="AB160" s="1183"/>
      <c r="AC160" s="1183"/>
      <c r="AD160" s="1183"/>
      <c r="AE160" s="1183"/>
      <c r="AF160" s="1183"/>
      <c r="AG160" s="1183"/>
      <c r="AH160" s="1183"/>
      <c r="AI160" s="1183"/>
      <c r="AJ160" s="1183"/>
      <c r="AK160" s="1183"/>
      <c r="AL160" s="1756"/>
      <c r="AM160" s="1756"/>
      <c r="AN160" s="1183"/>
      <c r="AO160" s="1183"/>
      <c r="AP160" s="1183"/>
      <c r="AQ160" s="1183"/>
    </row>
    <row r="161" spans="1:43" s="2380" customFormat="1" ht="17.25" customHeight="1">
      <c r="A161" s="1752"/>
      <c r="C161" s="1757"/>
      <c r="D161" s="1742"/>
      <c r="E161" s="1759"/>
      <c r="F161" s="1698"/>
      <c r="G161" s="1760"/>
      <c r="H161" s="2798"/>
      <c r="I161" s="2798"/>
      <c r="J161" s="2814"/>
      <c r="K161" s="2508"/>
      <c r="L161" s="2446"/>
      <c r="M161" s="2446"/>
      <c r="N161" s="2812"/>
      <c r="O161" s="2508"/>
      <c r="P161" s="2446"/>
      <c r="Q161" s="2446"/>
      <c r="R161" s="2799"/>
      <c r="S161" s="2445"/>
      <c r="T161" s="254"/>
      <c r="U161" s="255"/>
      <c r="V161" s="255" t="s">
        <v>413</v>
      </c>
      <c r="W161" s="256"/>
      <c r="Y161" s="1175"/>
      <c r="Z161" s="1175"/>
      <c r="AA161" s="1175"/>
      <c r="AB161" s="1175"/>
      <c r="AC161" s="1175"/>
      <c r="AD161" s="1175"/>
      <c r="AE161" s="1175"/>
      <c r="AF161" s="1175"/>
      <c r="AG161" s="1175"/>
      <c r="AH161" s="1175"/>
      <c r="AI161" s="1175"/>
      <c r="AJ161" s="1175"/>
      <c r="AK161" s="1175"/>
    </row>
    <row r="162" spans="1:43" s="2380" customFormat="1" ht="17.25" customHeight="1">
      <c r="A162" s="1752"/>
      <c r="C162" s="1757"/>
      <c r="D162" s="1742"/>
      <c r="E162" s="1759"/>
      <c r="F162" s="1698"/>
      <c r="G162" s="1760"/>
      <c r="H162" s="2469"/>
      <c r="I162" s="2469"/>
      <c r="J162" s="2815"/>
      <c r="K162" s="2508"/>
      <c r="L162" s="2469"/>
      <c r="M162" s="2469"/>
      <c r="N162" s="2813"/>
      <c r="O162" s="2450"/>
      <c r="P162" s="254"/>
      <c r="Q162" s="255"/>
      <c r="R162" s="255" t="s">
        <v>414</v>
      </c>
      <c r="S162" s="1758"/>
      <c r="T162" s="1758"/>
      <c r="U162" s="1758"/>
      <c r="V162" s="1758"/>
      <c r="W162" s="256"/>
      <c r="Y162" s="1175"/>
      <c r="Z162" s="1175"/>
      <c r="AA162" s="1175"/>
      <c r="AB162" s="1175"/>
      <c r="AC162" s="1175"/>
      <c r="AD162" s="1175"/>
      <c r="AE162" s="1175"/>
      <c r="AF162" s="1175"/>
      <c r="AG162" s="1175"/>
      <c r="AH162" s="1175"/>
      <c r="AI162" s="1175"/>
      <c r="AJ162" s="1175"/>
      <c r="AK162" s="1175"/>
    </row>
    <row r="163" spans="1:43" s="2380" customFormat="1" ht="17.25" customHeight="1">
      <c r="A163" s="1752"/>
      <c r="C163" s="1757"/>
      <c r="D163" s="1742"/>
      <c r="E163" s="1759"/>
      <c r="F163" s="1698"/>
      <c r="G163" s="1760"/>
      <c r="H163" s="2469"/>
      <c r="I163" s="2469"/>
      <c r="J163" s="2815"/>
      <c r="K163" s="2450"/>
      <c r="L163" s="254"/>
      <c r="M163" s="255"/>
      <c r="N163" s="255" t="s">
        <v>415</v>
      </c>
      <c r="O163" s="255"/>
      <c r="P163" s="255"/>
      <c r="Q163" s="255"/>
      <c r="R163" s="255"/>
      <c r="S163" s="1758"/>
      <c r="T163" s="1758"/>
      <c r="U163" s="1758"/>
      <c r="V163" s="1758"/>
      <c r="W163" s="256"/>
      <c r="Y163" s="1175"/>
      <c r="Z163" s="1175"/>
      <c r="AA163" s="1175"/>
      <c r="AB163" s="1175"/>
      <c r="AC163" s="1175"/>
      <c r="AD163" s="1175"/>
      <c r="AE163" s="1175"/>
      <c r="AF163" s="1175"/>
      <c r="AG163" s="1175"/>
      <c r="AH163" s="1175"/>
      <c r="AI163" s="1175"/>
      <c r="AJ163" s="1175"/>
      <c r="AK163" s="1175"/>
    </row>
    <row r="164" spans="1:43" ht="17.25" customHeight="1">
      <c r="G164" s="1751"/>
      <c r="H164" s="1751"/>
      <c r="I164" s="1751"/>
      <c r="M164" s="1747"/>
    </row>
    <row r="165" spans="1:43" s="2380" customFormat="1" ht="17.25" customHeight="1">
      <c r="A165" s="1752"/>
      <c r="C165" s="1754"/>
      <c r="D165" s="1742"/>
      <c r="E165" s="1759"/>
      <c r="F165" s="1698"/>
      <c r="G165" s="1760"/>
      <c r="H165" s="1742"/>
      <c r="I165" s="1742"/>
      <c r="J165" s="1761"/>
      <c r="K165" s="1675"/>
      <c r="L165" s="2446"/>
      <c r="M165" s="2446" t="s">
        <v>109</v>
      </c>
      <c r="N165" s="2812" t="str">
        <f>IF(Z165="","",INDEX(TERRITORY_MR_LIST,MATCH(Z165,TERRITORY_LIST_ID,0)))</f>
        <v/>
      </c>
      <c r="O165" s="2507" t="s">
        <v>62</v>
      </c>
      <c r="P165" s="2446"/>
      <c r="Q165" s="2446" t="s">
        <v>109</v>
      </c>
      <c r="R165" s="2799" t="s">
        <v>22</v>
      </c>
      <c r="S165" s="2445" t="s">
        <v>62</v>
      </c>
      <c r="T165" s="1725"/>
      <c r="U165" s="1725" t="s">
        <v>109</v>
      </c>
      <c r="V165" s="1755" t="s">
        <v>22</v>
      </c>
      <c r="W165" s="1715"/>
      <c r="Y165" s="1183"/>
      <c r="Z165" s="1183"/>
      <c r="AA165" s="1183"/>
      <c r="AB165" s="1183"/>
      <c r="AC165" s="1183"/>
      <c r="AD165" s="1183"/>
      <c r="AE165" s="1183"/>
      <c r="AF165" s="1183"/>
      <c r="AG165" s="1183"/>
      <c r="AH165" s="1183"/>
      <c r="AI165" s="1183"/>
      <c r="AJ165" s="1183"/>
      <c r="AK165" s="1183"/>
      <c r="AL165" s="1756"/>
      <c r="AM165" s="1756"/>
      <c r="AN165" s="1183"/>
      <c r="AO165" s="1183"/>
      <c r="AP165" s="1183"/>
      <c r="AQ165" s="1183"/>
    </row>
    <row r="166" spans="1:43" s="2380" customFormat="1" ht="17.25" customHeight="1">
      <c r="A166" s="1752"/>
      <c r="C166" s="1757"/>
      <c r="D166" s="1742"/>
      <c r="E166" s="1759"/>
      <c r="F166" s="1698"/>
      <c r="G166" s="1760"/>
      <c r="H166" s="1742"/>
      <c r="I166" s="1742"/>
      <c r="J166" s="1761"/>
      <c r="K166" s="1675"/>
      <c r="L166" s="2446"/>
      <c r="M166" s="2446"/>
      <c r="N166" s="2812"/>
      <c r="O166" s="2508"/>
      <c r="P166" s="2446"/>
      <c r="Q166" s="2446"/>
      <c r="R166" s="2799"/>
      <c r="S166" s="2445"/>
      <c r="T166" s="254"/>
      <c r="U166" s="255"/>
      <c r="V166" s="255" t="s">
        <v>413</v>
      </c>
      <c r="W166" s="256"/>
      <c r="Y166" s="1175"/>
      <c r="Z166" s="1175"/>
      <c r="AA166" s="1175"/>
      <c r="AB166" s="1175"/>
      <c r="AC166" s="1175"/>
      <c r="AD166" s="1175"/>
      <c r="AE166" s="1175"/>
      <c r="AF166" s="1175"/>
      <c r="AG166" s="1175"/>
      <c r="AH166" s="1175"/>
      <c r="AI166" s="1175"/>
      <c r="AJ166" s="1175"/>
      <c r="AK166" s="1175"/>
    </row>
    <row r="167" spans="1:43" s="2380" customFormat="1" ht="17.25" customHeight="1">
      <c r="A167" s="1752"/>
      <c r="C167" s="1757"/>
      <c r="D167" s="1742"/>
      <c r="E167" s="1759"/>
      <c r="F167" s="1698"/>
      <c r="G167" s="1760"/>
      <c r="H167" s="1742"/>
      <c r="I167" s="1742"/>
      <c r="J167" s="1761"/>
      <c r="K167" s="1675"/>
      <c r="L167" s="2469"/>
      <c r="M167" s="2469"/>
      <c r="N167" s="2813"/>
      <c r="O167" s="2450"/>
      <c r="P167" s="254"/>
      <c r="Q167" s="255"/>
      <c r="R167" s="255" t="s">
        <v>414</v>
      </c>
      <c r="S167" s="1758"/>
      <c r="T167" s="1758"/>
      <c r="U167" s="1758"/>
      <c r="V167" s="1758"/>
      <c r="W167" s="256"/>
      <c r="Y167" s="1175"/>
      <c r="Z167" s="1175"/>
      <c r="AA167" s="1175"/>
      <c r="AB167" s="1175"/>
      <c r="AC167" s="1175"/>
      <c r="AD167" s="1175"/>
      <c r="AE167" s="1175"/>
      <c r="AF167" s="1175"/>
      <c r="AG167" s="1175"/>
      <c r="AH167" s="1175"/>
      <c r="AI167" s="1175"/>
      <c r="AJ167" s="1175"/>
      <c r="AK167" s="1175"/>
    </row>
    <row r="168" spans="1:43" ht="17.25" customHeight="1">
      <c r="G168" s="1751"/>
      <c r="H168" s="1751"/>
      <c r="I168" s="1751"/>
      <c r="M168" s="1747"/>
    </row>
    <row r="169" spans="1:43" s="2380" customFormat="1" ht="17.25" customHeight="1">
      <c r="A169" s="1752"/>
      <c r="C169" s="1754"/>
      <c r="D169" s="1742"/>
      <c r="E169" s="1759"/>
      <c r="F169" s="1698"/>
      <c r="G169" s="1760"/>
      <c r="H169" s="1742"/>
      <c r="I169" s="1742"/>
      <c r="J169" s="1761"/>
      <c r="K169" s="1675"/>
      <c r="L169" s="1671"/>
      <c r="M169" s="1671"/>
      <c r="N169" s="1957"/>
      <c r="O169" s="1701"/>
      <c r="P169" s="2446"/>
      <c r="Q169" s="2446" t="s">
        <v>109</v>
      </c>
      <c r="R169" s="2799" t="s">
        <v>22</v>
      </c>
      <c r="S169" s="2445" t="s">
        <v>62</v>
      </c>
      <c r="T169" s="1725"/>
      <c r="U169" s="1725" t="s">
        <v>109</v>
      </c>
      <c r="V169" s="1755" t="s">
        <v>22</v>
      </c>
      <c r="W169" s="1715"/>
      <c r="Y169" s="1183"/>
      <c r="Z169" s="1183"/>
      <c r="AA169" s="1183"/>
      <c r="AB169" s="1183"/>
      <c r="AC169" s="1183"/>
      <c r="AD169" s="1183"/>
      <c r="AE169" s="1183"/>
      <c r="AF169" s="1183"/>
      <c r="AG169" s="1183"/>
      <c r="AH169" s="1183"/>
      <c r="AI169" s="1183"/>
      <c r="AJ169" s="1183"/>
      <c r="AK169" s="1183"/>
      <c r="AL169" s="1756"/>
      <c r="AM169" s="1756"/>
      <c r="AN169" s="1183"/>
      <c r="AO169" s="1183"/>
      <c r="AP169" s="1183"/>
      <c r="AQ169" s="1183"/>
    </row>
    <row r="170" spans="1:43" s="2380" customFormat="1" ht="17.25" customHeight="1">
      <c r="A170" s="1752"/>
      <c r="C170" s="1757"/>
      <c r="D170" s="1742"/>
      <c r="E170" s="1759"/>
      <c r="F170" s="1698"/>
      <c r="G170" s="1760"/>
      <c r="H170" s="1742"/>
      <c r="I170" s="1742"/>
      <c r="J170" s="1761"/>
      <c r="K170" s="1675"/>
      <c r="L170" s="1671"/>
      <c r="M170" s="1671"/>
      <c r="N170" s="1957"/>
      <c r="O170" s="1701"/>
      <c r="P170" s="2446"/>
      <c r="Q170" s="2446"/>
      <c r="R170" s="2799"/>
      <c r="S170" s="2445"/>
      <c r="T170" s="254"/>
      <c r="U170" s="255"/>
      <c r="V170" s="255" t="s">
        <v>413</v>
      </c>
      <c r="W170" s="256"/>
      <c r="Y170" s="1175"/>
      <c r="Z170" s="1175"/>
      <c r="AA170" s="1175"/>
      <c r="AB170" s="1175"/>
      <c r="AC170" s="1175"/>
      <c r="AD170" s="1175"/>
      <c r="AE170" s="1175"/>
      <c r="AF170" s="1175"/>
      <c r="AG170" s="1175"/>
      <c r="AH170" s="1175"/>
      <c r="AI170" s="1175"/>
      <c r="AJ170" s="1175"/>
      <c r="AK170" s="1175"/>
    </row>
    <row r="171" spans="1:43" ht="17.25" customHeight="1">
      <c r="G171" s="1751"/>
      <c r="H171" s="1751"/>
      <c r="I171" s="1751"/>
      <c r="M171" s="1747"/>
    </row>
    <row r="172" spans="1:43" s="2380" customFormat="1" ht="17.25" customHeight="1">
      <c r="A172" s="1752"/>
      <c r="C172" s="1754"/>
      <c r="D172" s="1742"/>
      <c r="E172" s="1759"/>
      <c r="F172" s="1698"/>
      <c r="G172" s="1760"/>
      <c r="H172" s="1671"/>
      <c r="I172" s="1671"/>
      <c r="J172" s="1672"/>
      <c r="K172" s="1760"/>
      <c r="L172" s="1671"/>
      <c r="M172" s="1671"/>
      <c r="N172" s="1760"/>
      <c r="O172" s="1760"/>
      <c r="P172" s="1671"/>
      <c r="Q172" s="1671"/>
      <c r="R172" s="1673"/>
      <c r="S172" s="1760"/>
      <c r="T172" s="1725"/>
      <c r="U172" s="1725" t="s">
        <v>109</v>
      </c>
      <c r="V172" s="1755" t="s">
        <v>22</v>
      </c>
      <c r="W172" s="1715"/>
      <c r="Y172" s="1183"/>
      <c r="Z172" s="1183"/>
      <c r="AA172" s="1183"/>
      <c r="AB172" s="1183"/>
      <c r="AC172" s="1183"/>
      <c r="AD172" s="1183"/>
      <c r="AE172" s="1183"/>
      <c r="AF172" s="1183"/>
      <c r="AG172" s="1183"/>
      <c r="AH172" s="1183"/>
      <c r="AI172" s="1183"/>
      <c r="AJ172" s="1183"/>
      <c r="AK172" s="1183"/>
      <c r="AL172" s="1756"/>
      <c r="AM172" s="1756"/>
      <c r="AN172" s="1183"/>
      <c r="AO172" s="1183"/>
      <c r="AP172" s="1183"/>
      <c r="AQ172" s="1183"/>
    </row>
    <row r="174" spans="1:43" s="2375" customFormat="1" ht="17.25" customHeight="1">
      <c r="A174" s="1729" t="s">
        <v>2083</v>
      </c>
    </row>
    <row r="175" spans="1:43" ht="17.25" customHeight="1">
      <c r="G175" s="1751"/>
      <c r="H175" s="1751"/>
      <c r="I175" s="1751"/>
      <c r="M175" s="1747"/>
    </row>
    <row r="176" spans="1:43" s="2380" customFormat="1" ht="17.25" customHeight="1">
      <c r="A176" s="1752"/>
      <c r="C176" s="1754"/>
      <c r="D176" s="2798"/>
      <c r="E176" s="2457"/>
      <c r="F176" s="2470"/>
      <c r="G176" s="2800"/>
      <c r="H176" s="2798"/>
      <c r="I176" s="2798">
        <v>1</v>
      </c>
      <c r="J176" s="2814"/>
      <c r="K176" s="2507" t="s">
        <v>62</v>
      </c>
      <c r="L176" s="2446"/>
      <c r="M176" s="2446" t="s">
        <v>109</v>
      </c>
      <c r="N176" s="2812" t="str">
        <f>IF(Z176="","",INDEX(TERRITORY_MR_LIST,MATCH(Z176,TERRITORY_LIST_ID,0)))</f>
        <v/>
      </c>
      <c r="O176" s="2507" t="s">
        <v>62</v>
      </c>
      <c r="P176" s="2446"/>
      <c r="Q176" s="2446" t="s">
        <v>109</v>
      </c>
      <c r="R176" s="2799" t="s">
        <v>22</v>
      </c>
      <c r="S176" s="2677" t="s">
        <v>19</v>
      </c>
      <c r="T176" s="1716"/>
      <c r="U176" s="1716" t="s">
        <v>109</v>
      </c>
      <c r="V176" s="1350"/>
      <c r="W176" s="2814"/>
      <c r="Y176" s="1183"/>
      <c r="Z176" s="1183"/>
      <c r="AA176" s="1183"/>
      <c r="AB176" s="1183"/>
      <c r="AC176" s="1183"/>
      <c r="AD176" s="1183"/>
      <c r="AE176" s="1183"/>
      <c r="AF176" s="1183"/>
      <c r="AG176" s="1183"/>
      <c r="AH176" s="1183"/>
      <c r="AI176" s="1183"/>
      <c r="AJ176" s="1183"/>
      <c r="AK176" s="1183"/>
      <c r="AL176" s="1756"/>
      <c r="AM176" s="1756"/>
      <c r="AN176" s="1183"/>
      <c r="AO176" s="1183"/>
      <c r="AP176" s="1183"/>
      <c r="AQ176" s="1183"/>
    </row>
    <row r="177" spans="1:43" s="2380" customFormat="1" ht="17.25" customHeight="1">
      <c r="A177" s="1752"/>
      <c r="C177" s="1757"/>
      <c r="D177" s="2798"/>
      <c r="E177" s="2457"/>
      <c r="F177" s="2471"/>
      <c r="G177" s="2800"/>
      <c r="H177" s="2798"/>
      <c r="I177" s="2798"/>
      <c r="J177" s="2814"/>
      <c r="K177" s="2508"/>
      <c r="L177" s="2446"/>
      <c r="M177" s="2446"/>
      <c r="N177" s="2812"/>
      <c r="O177" s="2508"/>
      <c r="P177" s="2446"/>
      <c r="Q177" s="2446"/>
      <c r="R177" s="2799"/>
      <c r="S177" s="2677"/>
      <c r="T177" s="1351"/>
      <c r="U177" s="1352"/>
      <c r="V177" s="1352"/>
      <c r="W177" s="2814"/>
      <c r="Y177" s="1175"/>
      <c r="Z177" s="1175"/>
      <c r="AA177" s="1175"/>
      <c r="AB177" s="1175"/>
      <c r="AC177" s="1175"/>
      <c r="AD177" s="1175"/>
      <c r="AE177" s="1175"/>
      <c r="AF177" s="1175"/>
      <c r="AG177" s="1175"/>
      <c r="AH177" s="1175"/>
      <c r="AI177" s="1175"/>
      <c r="AJ177" s="1175"/>
      <c r="AK177" s="1175"/>
    </row>
    <row r="178" spans="1:43" s="2380" customFormat="1" ht="17.25" customHeight="1">
      <c r="A178" s="1752"/>
      <c r="C178" s="1757"/>
      <c r="D178" s="2469"/>
      <c r="E178" s="2458"/>
      <c r="F178" s="2471"/>
      <c r="G178" s="2801"/>
      <c r="H178" s="2469"/>
      <c r="I178" s="2469"/>
      <c r="J178" s="2815"/>
      <c r="K178" s="2508"/>
      <c r="L178" s="2469"/>
      <c r="M178" s="2469"/>
      <c r="N178" s="2813"/>
      <c r="O178" s="2450"/>
      <c r="P178" s="254"/>
      <c r="Q178" s="255"/>
      <c r="R178" s="255" t="s">
        <v>414</v>
      </c>
      <c r="S178" s="1758"/>
      <c r="T178" s="1758"/>
      <c r="U178" s="1758"/>
      <c r="V178" s="1758"/>
      <c r="W178" s="1349"/>
      <c r="Y178" s="1175"/>
      <c r="Z178" s="1175"/>
      <c r="AA178" s="1175"/>
      <c r="AB178" s="1175"/>
      <c r="AC178" s="1175"/>
      <c r="AD178" s="1175"/>
      <c r="AE178" s="1175"/>
      <c r="AF178" s="1175"/>
      <c r="AG178" s="1175"/>
      <c r="AH178" s="1175"/>
      <c r="AI178" s="1175"/>
      <c r="AJ178" s="1175"/>
      <c r="AK178" s="1175"/>
    </row>
    <row r="179" spans="1:43" s="2380" customFormat="1" ht="17.25" customHeight="1">
      <c r="A179" s="1752"/>
      <c r="C179" s="1757"/>
      <c r="D179" s="2469"/>
      <c r="E179" s="2458"/>
      <c r="F179" s="2471"/>
      <c r="G179" s="2801"/>
      <c r="H179" s="2469"/>
      <c r="I179" s="2469"/>
      <c r="J179" s="2815"/>
      <c r="K179" s="2450"/>
      <c r="L179" s="254"/>
      <c r="M179" s="255"/>
      <c r="N179" s="255" t="s">
        <v>415</v>
      </c>
      <c r="O179" s="255"/>
      <c r="P179" s="255"/>
      <c r="Q179" s="255"/>
      <c r="R179" s="255"/>
      <c r="S179" s="1758"/>
      <c r="T179" s="1758"/>
      <c r="U179" s="1758"/>
      <c r="V179" s="1758"/>
      <c r="W179" s="256"/>
      <c r="Y179" s="1175"/>
      <c r="Z179" s="1175"/>
      <c r="AA179" s="1175"/>
      <c r="AB179" s="1175"/>
      <c r="AC179" s="1175"/>
      <c r="AD179" s="1175"/>
      <c r="AE179" s="1175"/>
      <c r="AF179" s="1175"/>
      <c r="AG179" s="1175"/>
      <c r="AH179" s="1175"/>
      <c r="AI179" s="1175"/>
      <c r="AJ179" s="1175"/>
      <c r="AK179" s="1175"/>
    </row>
    <row r="180" spans="1:43" s="2380" customFormat="1" ht="17.25" customHeight="1">
      <c r="A180" s="1752"/>
      <c r="C180" s="1757"/>
      <c r="D180" s="2469"/>
      <c r="E180" s="2458"/>
      <c r="F180" s="2472"/>
      <c r="G180" s="2801"/>
      <c r="H180" s="254"/>
      <c r="I180" s="255"/>
      <c r="J180" s="255" t="s">
        <v>447</v>
      </c>
      <c r="K180" s="255"/>
      <c r="L180" s="255"/>
      <c r="M180" s="255"/>
      <c r="N180" s="255"/>
      <c r="O180" s="255"/>
      <c r="P180" s="255"/>
      <c r="Q180" s="255"/>
      <c r="R180" s="255"/>
      <c r="S180" s="1758"/>
      <c r="T180" s="1758"/>
      <c r="U180" s="1758"/>
      <c r="V180" s="1758"/>
      <c r="W180" s="256"/>
      <c r="Y180" s="1175"/>
      <c r="Z180" s="1175"/>
      <c r="AA180" s="1175"/>
      <c r="AB180" s="1175"/>
      <c r="AC180" s="1175"/>
      <c r="AD180" s="1175"/>
      <c r="AE180" s="1175"/>
      <c r="AF180" s="1175"/>
      <c r="AG180" s="1175"/>
      <c r="AH180" s="1175"/>
      <c r="AI180" s="1175"/>
      <c r="AJ180" s="1175"/>
      <c r="AK180" s="1175"/>
    </row>
    <row r="181" spans="1:43" ht="17.25" customHeight="1">
      <c r="A181" s="1762"/>
    </row>
    <row r="182" spans="1:43" s="2380" customFormat="1" ht="17.25" customHeight="1">
      <c r="A182" s="1752"/>
      <c r="C182" s="1754"/>
      <c r="D182" s="1742"/>
      <c r="E182" s="1759"/>
      <c r="F182" s="1698"/>
      <c r="G182" s="1760"/>
      <c r="H182" s="2798"/>
      <c r="I182" s="2798">
        <v>1</v>
      </c>
      <c r="J182" s="2814"/>
      <c r="K182" s="2507" t="s">
        <v>62</v>
      </c>
      <c r="L182" s="2446"/>
      <c r="M182" s="2446" t="s">
        <v>109</v>
      </c>
      <c r="N182" s="2812" t="str">
        <f>IF(Z182="","",INDEX(TERRITORY_MR_LIST,MATCH(Z182,TERRITORY_LIST_ID,0)))</f>
        <v/>
      </c>
      <c r="O182" s="2507" t="s">
        <v>62</v>
      </c>
      <c r="P182" s="2446"/>
      <c r="Q182" s="2446" t="s">
        <v>109</v>
      </c>
      <c r="R182" s="2799" t="s">
        <v>22</v>
      </c>
      <c r="S182" s="2677" t="s">
        <v>19</v>
      </c>
      <c r="T182" s="1716"/>
      <c r="U182" s="1716" t="s">
        <v>109</v>
      </c>
      <c r="V182" s="1350"/>
      <c r="W182" s="2814"/>
      <c r="Y182" s="1183"/>
      <c r="Z182" s="1183"/>
      <c r="AA182" s="1183"/>
      <c r="AB182" s="1183"/>
      <c r="AC182" s="1183"/>
      <c r="AD182" s="1183"/>
      <c r="AE182" s="1183"/>
      <c r="AF182" s="1183"/>
      <c r="AG182" s="1183"/>
      <c r="AH182" s="1183"/>
      <c r="AI182" s="1183"/>
      <c r="AJ182" s="1183"/>
      <c r="AK182" s="1183"/>
      <c r="AL182" s="1756"/>
      <c r="AM182" s="1756"/>
      <c r="AN182" s="1183"/>
      <c r="AO182" s="1183"/>
      <c r="AP182" s="1183"/>
      <c r="AQ182" s="1183"/>
    </row>
    <row r="183" spans="1:43" s="2380" customFormat="1" ht="17.25" customHeight="1">
      <c r="A183" s="1752"/>
      <c r="C183" s="1757"/>
      <c r="D183" s="1742"/>
      <c r="E183" s="1759"/>
      <c r="F183" s="1698"/>
      <c r="G183" s="1760"/>
      <c r="H183" s="2798"/>
      <c r="I183" s="2798"/>
      <c r="J183" s="2814"/>
      <c r="K183" s="2508"/>
      <c r="L183" s="2446"/>
      <c r="M183" s="2446"/>
      <c r="N183" s="2812"/>
      <c r="O183" s="2508"/>
      <c r="P183" s="2446"/>
      <c r="Q183" s="2446"/>
      <c r="R183" s="2799"/>
      <c r="S183" s="2677"/>
      <c r="T183" s="1351"/>
      <c r="U183" s="1352"/>
      <c r="V183" s="1352"/>
      <c r="W183" s="2814"/>
      <c r="Y183" s="1175"/>
      <c r="Z183" s="1175"/>
      <c r="AA183" s="1175"/>
      <c r="AB183" s="1175"/>
      <c r="AC183" s="1175"/>
      <c r="AD183" s="1175"/>
      <c r="AE183" s="1175"/>
      <c r="AF183" s="1175"/>
      <c r="AG183" s="1175"/>
      <c r="AH183" s="1175"/>
      <c r="AI183" s="1175"/>
      <c r="AJ183" s="1175"/>
      <c r="AK183" s="1175"/>
    </row>
    <row r="184" spans="1:43" s="2380" customFormat="1" ht="17.25" customHeight="1">
      <c r="A184" s="1752"/>
      <c r="C184" s="1757"/>
      <c r="D184" s="1742"/>
      <c r="E184" s="1759"/>
      <c r="F184" s="1698"/>
      <c r="G184" s="1760"/>
      <c r="H184" s="2469"/>
      <c r="I184" s="2469"/>
      <c r="J184" s="2815"/>
      <c r="K184" s="2508"/>
      <c r="L184" s="2469"/>
      <c r="M184" s="2469"/>
      <c r="N184" s="2813"/>
      <c r="O184" s="2450"/>
      <c r="P184" s="254"/>
      <c r="Q184" s="255"/>
      <c r="R184" s="255" t="s">
        <v>414</v>
      </c>
      <c r="S184" s="1758"/>
      <c r="T184" s="1758"/>
      <c r="U184" s="1758"/>
      <c r="V184" s="1758"/>
      <c r="W184" s="1349"/>
      <c r="Y184" s="1175"/>
      <c r="Z184" s="1175"/>
      <c r="AA184" s="1175"/>
      <c r="AB184" s="1175"/>
      <c r="AC184" s="1175"/>
      <c r="AD184" s="1175"/>
      <c r="AE184" s="1175"/>
      <c r="AF184" s="1175"/>
      <c r="AG184" s="1175"/>
      <c r="AH184" s="1175"/>
      <c r="AI184" s="1175"/>
      <c r="AJ184" s="1175"/>
      <c r="AK184" s="1175"/>
    </row>
    <row r="185" spans="1:43" s="2380" customFormat="1" ht="17.25" customHeight="1">
      <c r="A185" s="1752"/>
      <c r="C185" s="1757"/>
      <c r="D185" s="1742"/>
      <c r="E185" s="1759"/>
      <c r="F185" s="1698"/>
      <c r="G185" s="1760"/>
      <c r="H185" s="2469"/>
      <c r="I185" s="2469"/>
      <c r="J185" s="2815"/>
      <c r="K185" s="2450"/>
      <c r="L185" s="254"/>
      <c r="M185" s="255"/>
      <c r="N185" s="255" t="s">
        <v>415</v>
      </c>
      <c r="O185" s="255"/>
      <c r="P185" s="255"/>
      <c r="Q185" s="255"/>
      <c r="R185" s="255"/>
      <c r="S185" s="1758"/>
      <c r="T185" s="1758"/>
      <c r="U185" s="1758"/>
      <c r="V185" s="1758"/>
      <c r="W185" s="256"/>
      <c r="Y185" s="1175"/>
      <c r="Z185" s="1175"/>
      <c r="AA185" s="1175"/>
      <c r="AB185" s="1175"/>
      <c r="AC185" s="1175"/>
      <c r="AD185" s="1175"/>
      <c r="AE185" s="1175"/>
      <c r="AF185" s="1175"/>
      <c r="AG185" s="1175"/>
      <c r="AH185" s="1175"/>
      <c r="AI185" s="1175"/>
      <c r="AJ185" s="1175"/>
      <c r="AK185" s="1175"/>
    </row>
    <row r="186" spans="1:43" ht="17.25" customHeight="1">
      <c r="A186" s="1762"/>
    </row>
    <row r="187" spans="1:43" s="2380" customFormat="1" ht="17.25" customHeight="1">
      <c r="A187" s="1752"/>
      <c r="C187" s="1754"/>
      <c r="D187" s="1742"/>
      <c r="E187" s="1759"/>
      <c r="F187" s="1698"/>
      <c r="G187" s="1760"/>
      <c r="H187" s="1742"/>
      <c r="I187" s="1742"/>
      <c r="J187" s="1763"/>
      <c r="K187" s="1760"/>
      <c r="L187" s="2446"/>
      <c r="M187" s="2446" t="s">
        <v>109</v>
      </c>
      <c r="N187" s="2812" t="str">
        <f>IF(Z187="","",INDEX(TERRITORY_MR_LIST,MATCH(Z187,TERRITORY_LIST_ID,0)))</f>
        <v/>
      </c>
      <c r="O187" s="2507" t="s">
        <v>62</v>
      </c>
      <c r="P187" s="2446"/>
      <c r="Q187" s="2446" t="s">
        <v>109</v>
      </c>
      <c r="R187" s="2799" t="s">
        <v>22</v>
      </c>
      <c r="S187" s="2677" t="s">
        <v>19</v>
      </c>
      <c r="T187" s="1716"/>
      <c r="U187" s="1716" t="s">
        <v>109</v>
      </c>
      <c r="V187" s="1350"/>
      <c r="W187" s="2814"/>
      <c r="Y187" s="1183"/>
      <c r="Z187" s="1183"/>
      <c r="AA187" s="1183"/>
      <c r="AB187" s="1183"/>
      <c r="AC187" s="1183"/>
      <c r="AD187" s="1183"/>
      <c r="AE187" s="1183"/>
      <c r="AF187" s="1183"/>
      <c r="AG187" s="1183"/>
      <c r="AH187" s="1183"/>
      <c r="AI187" s="1183"/>
      <c r="AJ187" s="1183"/>
      <c r="AK187" s="1183"/>
      <c r="AL187" s="1756"/>
      <c r="AM187" s="1756"/>
      <c r="AN187" s="1183"/>
      <c r="AO187" s="1183"/>
      <c r="AP187" s="1183"/>
      <c r="AQ187" s="1183"/>
    </row>
    <row r="188" spans="1:43" s="2380" customFormat="1" ht="17.25" customHeight="1">
      <c r="A188" s="1752"/>
      <c r="C188" s="1757"/>
      <c r="D188" s="1742"/>
      <c r="E188" s="1759"/>
      <c r="F188" s="1698"/>
      <c r="G188" s="1760"/>
      <c r="H188" s="1742"/>
      <c r="I188" s="1742"/>
      <c r="J188" s="1763"/>
      <c r="K188" s="1760"/>
      <c r="L188" s="2446"/>
      <c r="M188" s="2446"/>
      <c r="N188" s="2812"/>
      <c r="O188" s="2508"/>
      <c r="P188" s="2446"/>
      <c r="Q188" s="2446"/>
      <c r="R188" s="2799"/>
      <c r="S188" s="2677"/>
      <c r="T188" s="1351"/>
      <c r="U188" s="1352"/>
      <c r="V188" s="1352"/>
      <c r="W188" s="2814"/>
      <c r="Y188" s="1175"/>
      <c r="Z188" s="1175"/>
      <c r="AA188" s="1175"/>
      <c r="AB188" s="1175"/>
      <c r="AC188" s="1175"/>
      <c r="AD188" s="1175"/>
      <c r="AE188" s="1175"/>
      <c r="AF188" s="1175"/>
      <c r="AG188" s="1175"/>
      <c r="AH188" s="1175"/>
      <c r="AI188" s="1175"/>
      <c r="AJ188" s="1175"/>
      <c r="AK188" s="1175"/>
    </row>
    <row r="189" spans="1:43" s="2380" customFormat="1" ht="17.25" customHeight="1">
      <c r="A189" s="1752"/>
      <c r="C189" s="1757"/>
      <c r="D189" s="1742"/>
      <c r="E189" s="1759"/>
      <c r="F189" s="1698"/>
      <c r="G189" s="1760"/>
      <c r="H189" s="1742"/>
      <c r="I189" s="1742"/>
      <c r="J189" s="1763"/>
      <c r="K189" s="1760"/>
      <c r="L189" s="2469"/>
      <c r="M189" s="2469"/>
      <c r="N189" s="2813"/>
      <c r="O189" s="2450"/>
      <c r="P189" s="254"/>
      <c r="Q189" s="255"/>
      <c r="R189" s="255" t="s">
        <v>414</v>
      </c>
      <c r="S189" s="1758"/>
      <c r="T189" s="1758"/>
      <c r="U189" s="1758"/>
      <c r="V189" s="1758"/>
      <c r="W189" s="1349"/>
      <c r="Y189" s="1175"/>
      <c r="Z189" s="1175"/>
      <c r="AA189" s="1175"/>
      <c r="AB189" s="1175"/>
      <c r="AC189" s="1175"/>
      <c r="AD189" s="1175"/>
      <c r="AE189" s="1175"/>
      <c r="AF189" s="1175"/>
      <c r="AG189" s="1175"/>
      <c r="AH189" s="1175"/>
      <c r="AI189" s="1175"/>
      <c r="AJ189" s="1175"/>
      <c r="AK189" s="1175"/>
    </row>
    <row r="190" spans="1:43" ht="17.25" customHeight="1">
      <c r="A190" s="1762"/>
    </row>
    <row r="191" spans="1:43" s="2380" customFormat="1" ht="17.25" customHeight="1">
      <c r="A191" s="1752"/>
      <c r="C191" s="1754"/>
      <c r="D191" s="1742"/>
      <c r="E191" s="1759"/>
      <c r="F191" s="1698"/>
      <c r="G191" s="1760"/>
      <c r="H191" s="1742"/>
      <c r="I191" s="1742"/>
      <c r="J191" s="1763"/>
      <c r="K191" s="1760"/>
      <c r="L191" s="1742"/>
      <c r="M191" s="1742"/>
      <c r="N191" s="1957"/>
      <c r="O191" s="1701"/>
      <c r="P191" s="2446"/>
      <c r="Q191" s="2446" t="s">
        <v>109</v>
      </c>
      <c r="R191" s="2799" t="s">
        <v>22</v>
      </c>
      <c r="S191" s="2677" t="s">
        <v>19</v>
      </c>
      <c r="T191" s="1716"/>
      <c r="U191" s="1716" t="s">
        <v>109</v>
      </c>
      <c r="V191" s="1350"/>
      <c r="W191" s="2814"/>
      <c r="Y191" s="1183"/>
      <c r="Z191" s="1183"/>
      <c r="AA191" s="1183"/>
      <c r="AB191" s="1183"/>
      <c r="AC191" s="1183"/>
      <c r="AD191" s="1183"/>
      <c r="AE191" s="1183"/>
      <c r="AF191" s="1183"/>
      <c r="AG191" s="1183"/>
      <c r="AH191" s="1183"/>
      <c r="AI191" s="1183"/>
      <c r="AJ191" s="1183"/>
      <c r="AK191" s="1183"/>
      <c r="AL191" s="1756"/>
      <c r="AM191" s="1756"/>
      <c r="AN191" s="1183"/>
      <c r="AO191" s="1183"/>
      <c r="AP191" s="1183"/>
      <c r="AQ191" s="1183"/>
    </row>
    <row r="192" spans="1:43" s="2380" customFormat="1" ht="17.25" customHeight="1">
      <c r="A192" s="1752"/>
      <c r="C192" s="1757"/>
      <c r="D192" s="1742"/>
      <c r="E192" s="1759"/>
      <c r="F192" s="1698"/>
      <c r="G192" s="1760"/>
      <c r="H192" s="1742"/>
      <c r="I192" s="1742"/>
      <c r="J192" s="1763"/>
      <c r="K192" s="1760"/>
      <c r="L192" s="1742"/>
      <c r="M192" s="1742"/>
      <c r="N192" s="1957"/>
      <c r="O192" s="1701"/>
      <c r="P192" s="2446"/>
      <c r="Q192" s="2446"/>
      <c r="R192" s="2799"/>
      <c r="S192" s="2677"/>
      <c r="T192" s="1351"/>
      <c r="U192" s="1352"/>
      <c r="V192" s="1352"/>
      <c r="W192" s="2814"/>
      <c r="Y192" s="1175"/>
      <c r="Z192" s="1175"/>
      <c r="AA192" s="1175"/>
      <c r="AB192" s="1175"/>
      <c r="AC192" s="1175"/>
      <c r="AD192" s="1175"/>
      <c r="AE192" s="1175"/>
      <c r="AF192" s="1175"/>
      <c r="AG192" s="1175"/>
      <c r="AH192" s="1175"/>
      <c r="AI192" s="1175"/>
      <c r="AJ192" s="1175"/>
      <c r="AK192" s="1175"/>
    </row>
    <row r="193" spans="1:63" ht="17.25" customHeight="1">
      <c r="A193" s="1762"/>
    </row>
    <row r="194" spans="1:63" ht="16.5" customHeight="1">
      <c r="A194" s="1752"/>
      <c r="B194" s="1753"/>
      <c r="C194" s="1757"/>
      <c r="D194" s="2798"/>
      <c r="E194" s="2504"/>
      <c r="F194" s="2504"/>
      <c r="G194" s="2435"/>
      <c r="H194" s="2459"/>
      <c r="I194" s="2461"/>
      <c r="J194" s="2463"/>
      <c r="K194" s="2455"/>
      <c r="L194" s="2455"/>
      <c r="M194" s="2455"/>
      <c r="N194" s="2466"/>
      <c r="O194" s="2455"/>
      <c r="P194" s="2455"/>
      <c r="Q194" s="2455"/>
      <c r="R194" s="2453"/>
      <c r="S194" s="2455"/>
      <c r="T194" s="1697"/>
      <c r="U194" s="1697"/>
      <c r="V194" s="1764"/>
      <c r="W194" s="1212"/>
    </row>
    <row r="195" spans="1:63" ht="16.5" customHeight="1">
      <c r="A195" s="1752"/>
      <c r="B195" s="1753"/>
      <c r="C195" s="1757"/>
      <c r="D195" s="2798"/>
      <c r="E195" s="2504"/>
      <c r="F195" s="2504"/>
      <c r="G195" s="2435"/>
      <c r="H195" s="2460"/>
      <c r="I195" s="2462"/>
      <c r="J195" s="2464"/>
      <c r="K195" s="2456"/>
      <c r="L195" s="2456"/>
      <c r="M195" s="2456"/>
      <c r="N195" s="2467"/>
      <c r="O195" s="2456"/>
      <c r="P195" s="2456"/>
      <c r="Q195" s="2456"/>
      <c r="R195" s="2454"/>
      <c r="S195" s="2456"/>
      <c r="T195" s="1213"/>
      <c r="U195" s="1213"/>
      <c r="V195" s="1213"/>
      <c r="W195" s="1214"/>
    </row>
    <row r="196" spans="1:63" ht="17.25" customHeight="1">
      <c r="A196" s="1752"/>
      <c r="B196" s="1753"/>
      <c r="C196" s="1757"/>
      <c r="D196" s="2798"/>
      <c r="E196" s="2504"/>
      <c r="F196" s="2504"/>
      <c r="G196" s="2435"/>
      <c r="H196" s="2460"/>
      <c r="I196" s="2462"/>
      <c r="J196" s="2465"/>
      <c r="K196" s="2456"/>
      <c r="L196" s="2456"/>
      <c r="M196" s="2456"/>
      <c r="N196" s="2454"/>
      <c r="O196" s="2456"/>
      <c r="P196" s="1700"/>
      <c r="Q196" s="1213"/>
      <c r="R196" s="1213"/>
      <c r="S196" s="1765"/>
      <c r="T196" s="1765"/>
      <c r="U196" s="1765"/>
      <c r="V196" s="1765"/>
      <c r="W196" s="1214"/>
    </row>
    <row r="197" spans="1:63" ht="17.25" customHeight="1">
      <c r="A197" s="1752"/>
      <c r="B197" s="1753"/>
      <c r="C197" s="1757"/>
      <c r="D197" s="2798"/>
      <c r="E197" s="2504"/>
      <c r="F197" s="2504"/>
      <c r="G197" s="2435"/>
      <c r="H197" s="2460"/>
      <c r="I197" s="2462"/>
      <c r="J197" s="2465"/>
      <c r="K197" s="2456"/>
      <c r="L197" s="1213"/>
      <c r="M197" s="1213"/>
      <c r="N197" s="1213"/>
      <c r="O197" s="1213"/>
      <c r="P197" s="1213"/>
      <c r="Q197" s="1213"/>
      <c r="R197" s="1213"/>
      <c r="S197" s="1765"/>
      <c r="T197" s="1765"/>
      <c r="U197" s="1765"/>
      <c r="V197" s="1765"/>
      <c r="W197" s="1214"/>
    </row>
    <row r="198" spans="1:63" ht="17.25" customHeight="1">
      <c r="A198" s="1752"/>
      <c r="B198" s="1753"/>
      <c r="C198" s="1757"/>
      <c r="D198" s="2798"/>
      <c r="E198" s="2504"/>
      <c r="F198" s="2504"/>
      <c r="G198" s="2435"/>
      <c r="H198" s="1215"/>
      <c r="I198" s="1216"/>
      <c r="J198" s="1216"/>
      <c r="K198" s="1216"/>
      <c r="L198" s="1216"/>
      <c r="M198" s="1216"/>
      <c r="N198" s="1216"/>
      <c r="O198" s="1216"/>
      <c r="P198" s="1216"/>
      <c r="Q198" s="1216"/>
      <c r="R198" s="1216"/>
      <c r="S198" s="1766"/>
      <c r="T198" s="1766"/>
      <c r="U198" s="1766"/>
      <c r="V198" s="1766"/>
      <c r="W198" s="1218"/>
    </row>
    <row r="200" spans="1:63" s="2375" customFormat="1" ht="17.25" customHeight="1">
      <c r="A200" s="1729" t="s">
        <v>2084</v>
      </c>
    </row>
    <row r="201" spans="1:63" ht="17.25" customHeight="1">
      <c r="G201" s="1751"/>
      <c r="H201" s="1751"/>
      <c r="I201" s="1751"/>
      <c r="M201" s="1747"/>
    </row>
    <row r="202" spans="1:63" s="2398" customFormat="1" ht="15" customHeight="1">
      <c r="D202" s="2825"/>
      <c r="E202" s="2499"/>
      <c r="F202" s="2499"/>
      <c r="G202" s="2507"/>
      <c r="H202" s="1480"/>
      <c r="I202" s="2826">
        <v>1</v>
      </c>
      <c r="J202" s="2814"/>
      <c r="K202" s="1495"/>
      <c r="L202" s="2507" t="s">
        <v>62</v>
      </c>
      <c r="M202" s="2507" t="s">
        <v>62</v>
      </c>
      <c r="N202" s="1480"/>
      <c r="O202" s="2446" t="s">
        <v>109</v>
      </c>
      <c r="P202" s="2719"/>
      <c r="Q202" s="1496"/>
      <c r="R202" s="2507" t="s">
        <v>62</v>
      </c>
      <c r="S202" s="2507" t="s">
        <v>62</v>
      </c>
      <c r="T202" s="1767"/>
      <c r="U202" s="2446" t="s">
        <v>109</v>
      </c>
      <c r="V202" s="2822" t="str">
        <f>IF(AK202="","",INDEX(TERRITORY_MR_LIST,MATCH(AK202,TERRITORY_LIST_ID,0)))</f>
        <v/>
      </c>
      <c r="W202" s="1497"/>
      <c r="X202" s="2507" t="s">
        <v>62</v>
      </c>
      <c r="Y202" s="2507" t="s">
        <v>19</v>
      </c>
      <c r="Z202" s="1480"/>
      <c r="AA202" s="2446" t="s">
        <v>109</v>
      </c>
      <c r="AB202" s="2824"/>
      <c r="AC202" s="1498"/>
      <c r="AD202" s="2507" t="s">
        <v>62</v>
      </c>
      <c r="AE202" s="2507" t="s">
        <v>19</v>
      </c>
      <c r="AF202" s="1478"/>
      <c r="AG202" s="1725" t="s">
        <v>109</v>
      </c>
      <c r="AH202" s="1488"/>
      <c r="AI202" s="1715"/>
    </row>
    <row r="203" spans="1:63" s="2398" customFormat="1" ht="15" customHeight="1">
      <c r="D203" s="2825"/>
      <c r="E203" s="2499"/>
      <c r="F203" s="2499"/>
      <c r="G203" s="2508"/>
      <c r="H203" s="1480"/>
      <c r="I203" s="2826"/>
      <c r="J203" s="2814"/>
      <c r="K203" s="1479"/>
      <c r="L203" s="2508"/>
      <c r="M203" s="2508"/>
      <c r="N203" s="1480"/>
      <c r="O203" s="2446"/>
      <c r="P203" s="2719"/>
      <c r="Q203" s="1476"/>
      <c r="R203" s="2508"/>
      <c r="S203" s="2508"/>
      <c r="T203" s="1767"/>
      <c r="U203" s="2446"/>
      <c r="V203" s="2823"/>
      <c r="W203" s="1477"/>
      <c r="X203" s="2508"/>
      <c r="Y203" s="2508"/>
      <c r="Z203" s="1480"/>
      <c r="AA203" s="2446"/>
      <c r="AB203" s="2788"/>
      <c r="AC203" s="1481"/>
      <c r="AD203" s="2450"/>
      <c r="AE203" s="2450"/>
      <c r="AF203" s="1482"/>
      <c r="AG203" s="1483"/>
      <c r="AH203" s="2828" t="s">
        <v>2085</v>
      </c>
      <c r="AI203" s="2829"/>
    </row>
    <row r="204" spans="1:63" s="2398" customFormat="1" ht="15" customHeight="1">
      <c r="D204" s="2825"/>
      <c r="E204" s="2499"/>
      <c r="F204" s="2499"/>
      <c r="G204" s="2508"/>
      <c r="H204" s="1480"/>
      <c r="I204" s="2826"/>
      <c r="J204" s="2814"/>
      <c r="K204" s="1479"/>
      <c r="L204" s="2508"/>
      <c r="M204" s="2508"/>
      <c r="N204" s="1480"/>
      <c r="O204" s="2446"/>
      <c r="P204" s="2719"/>
      <c r="Q204" s="1476"/>
      <c r="R204" s="2508"/>
      <c r="S204" s="2508"/>
      <c r="T204" s="1767"/>
      <c r="U204" s="2446"/>
      <c r="V204" s="2823"/>
      <c r="W204" s="1477"/>
      <c r="X204" s="2508"/>
      <c r="Y204" s="2508"/>
      <c r="Z204" s="1519"/>
      <c r="AA204" s="1485"/>
      <c r="AB204" s="2830" t="s">
        <v>2086</v>
      </c>
      <c r="AC204" s="2830"/>
      <c r="AD204" s="2830"/>
      <c r="AE204" s="2830"/>
      <c r="AF204" s="2830"/>
      <c r="AG204" s="2830"/>
      <c r="AH204" s="2830"/>
      <c r="AI204" s="2831"/>
    </row>
    <row r="205" spans="1:63" s="2398" customFormat="1" ht="15" customHeight="1">
      <c r="D205" s="2825"/>
      <c r="E205" s="2499"/>
      <c r="F205" s="2499"/>
      <c r="G205" s="2508"/>
      <c r="H205" s="1480"/>
      <c r="I205" s="2826"/>
      <c r="J205" s="2814"/>
      <c r="K205" s="1479"/>
      <c r="L205" s="2508"/>
      <c r="M205" s="2508"/>
      <c r="N205" s="1480"/>
      <c r="O205" s="2446"/>
      <c r="P205" s="2832"/>
      <c r="Q205" s="1476"/>
      <c r="R205" s="2508"/>
      <c r="S205" s="2508"/>
      <c r="T205" s="1768"/>
      <c r="U205" s="1520"/>
      <c r="V205" s="2828" t="s">
        <v>103</v>
      </c>
      <c r="W205" s="2828"/>
      <c r="X205" s="2828"/>
      <c r="Y205" s="2828"/>
      <c r="Z205" s="2828"/>
      <c r="AA205" s="2828"/>
      <c r="AB205" s="2828"/>
      <c r="AC205" s="2828"/>
      <c r="AD205" s="2828"/>
      <c r="AE205" s="2828"/>
      <c r="AF205" s="2828"/>
      <c r="AG205" s="2828"/>
      <c r="AH205" s="2828"/>
      <c r="AI205" s="2829"/>
    </row>
    <row r="206" spans="1:63" s="2398" customFormat="1" ht="11.25" customHeight="1">
      <c r="D206" s="2825"/>
      <c r="E206" s="2499"/>
      <c r="F206" s="2499"/>
      <c r="G206" s="2508"/>
      <c r="H206" s="1484"/>
      <c r="I206" s="2826"/>
      <c r="J206" s="2827"/>
      <c r="K206" s="1479"/>
      <c r="L206" s="2508"/>
      <c r="M206" s="2508"/>
      <c r="N206" s="1484"/>
      <c r="O206" s="1485"/>
      <c r="P206" s="2828" t="s">
        <v>2087</v>
      </c>
      <c r="Q206" s="2828"/>
      <c r="R206" s="2828"/>
      <c r="S206" s="2828"/>
      <c r="T206" s="2828"/>
      <c r="U206" s="2828"/>
      <c r="V206" s="2828"/>
      <c r="W206" s="2828"/>
      <c r="X206" s="2828"/>
      <c r="Y206" s="2828"/>
      <c r="Z206" s="2828"/>
      <c r="AA206" s="2828"/>
      <c r="AB206" s="2828"/>
      <c r="AC206" s="2828"/>
      <c r="AD206" s="2828"/>
      <c r="AE206" s="2828"/>
      <c r="AF206" s="2828"/>
      <c r="AG206" s="2828"/>
      <c r="AH206" s="2828"/>
      <c r="AI206" s="2829"/>
    </row>
    <row r="207" spans="1:63" s="2325" customFormat="1" ht="11.25" customHeight="1">
      <c r="D207" s="2825"/>
      <c r="E207" s="2499"/>
      <c r="F207" s="2499"/>
      <c r="G207" s="2450"/>
      <c r="H207" s="1486"/>
      <c r="I207" s="1487"/>
      <c r="J207" s="2828" t="s">
        <v>447</v>
      </c>
      <c r="K207" s="2828"/>
      <c r="L207" s="2828"/>
      <c r="M207" s="2828"/>
      <c r="N207" s="2828"/>
      <c r="O207" s="2828"/>
      <c r="P207" s="2828"/>
      <c r="Q207" s="2828"/>
      <c r="R207" s="2828"/>
      <c r="S207" s="2828"/>
      <c r="T207" s="2828"/>
      <c r="U207" s="2828"/>
      <c r="V207" s="2828"/>
      <c r="W207" s="2828"/>
      <c r="X207" s="2828"/>
      <c r="Y207" s="2828"/>
      <c r="Z207" s="2828"/>
      <c r="AA207" s="2828"/>
      <c r="AB207" s="2828"/>
      <c r="AC207" s="2828"/>
      <c r="AD207" s="2828"/>
      <c r="AE207" s="2828"/>
      <c r="AF207" s="2828"/>
      <c r="AG207" s="2828"/>
      <c r="AH207" s="2828"/>
      <c r="AI207" s="2829"/>
      <c r="BK207" s="1490"/>
    </row>
    <row r="208" spans="1:63" ht="17.25" customHeight="1">
      <c r="G208" s="1751"/>
      <c r="I208" s="1751"/>
      <c r="J208" s="1751"/>
      <c r="N208" s="1747"/>
    </row>
    <row r="209" spans="1:63" s="2398" customFormat="1" ht="15" customHeight="1">
      <c r="D209" s="2825"/>
      <c r="E209" s="2499"/>
      <c r="F209" s="2499"/>
      <c r="G209" s="2504"/>
      <c r="H209" s="1515"/>
      <c r="I209" s="2509"/>
      <c r="J209" s="2463"/>
      <c r="K209" s="1699"/>
      <c r="L209" s="2455"/>
      <c r="M209" s="2455"/>
      <c r="N209" s="1500"/>
      <c r="O209" s="2455"/>
      <c r="P209" s="2463"/>
      <c r="Q209" s="1703"/>
      <c r="R209" s="2455"/>
      <c r="S209" s="2455"/>
      <c r="T209" s="1769"/>
      <c r="U209" s="2455"/>
      <c r="V209" s="2463"/>
      <c r="W209" s="1503"/>
      <c r="X209" s="2455"/>
      <c r="Y209" s="2455"/>
      <c r="Z209" s="1500"/>
      <c r="AA209" s="2455"/>
      <c r="AB209" s="2463"/>
      <c r="AC209" s="1504"/>
      <c r="AD209" s="2455"/>
      <c r="AE209" s="2455"/>
      <c r="AF209" s="1697"/>
      <c r="AG209" s="1697"/>
      <c r="AH209" s="1505"/>
      <c r="AI209" s="1212"/>
    </row>
    <row r="210" spans="1:63" s="2398" customFormat="1" ht="15" customHeight="1">
      <c r="D210" s="2825"/>
      <c r="E210" s="2499"/>
      <c r="F210" s="2499"/>
      <c r="G210" s="2504"/>
      <c r="H210" s="1516"/>
      <c r="I210" s="2510"/>
      <c r="J210" s="2464"/>
      <c r="K210" s="1526"/>
      <c r="L210" s="2456"/>
      <c r="M210" s="2456"/>
      <c r="N210" s="1506"/>
      <c r="O210" s="2456"/>
      <c r="P210" s="2464"/>
      <c r="Q210" s="1704"/>
      <c r="R210" s="2456"/>
      <c r="S210" s="2456"/>
      <c r="T210" s="1770"/>
      <c r="U210" s="2456"/>
      <c r="V210" s="2464"/>
      <c r="W210" s="1509"/>
      <c r="X210" s="2456"/>
      <c r="Y210" s="2456"/>
      <c r="Z210" s="1506"/>
      <c r="AA210" s="2456"/>
      <c r="AB210" s="2464"/>
      <c r="AC210" s="1510"/>
      <c r="AD210" s="2456"/>
      <c r="AE210" s="2456"/>
      <c r="AF210" s="1702"/>
      <c r="AG210" s="1702"/>
      <c r="AH210" s="2513"/>
      <c r="AI210" s="2514"/>
    </row>
    <row r="211" spans="1:63" s="2398" customFormat="1" ht="15" customHeight="1">
      <c r="D211" s="2825"/>
      <c r="E211" s="2499"/>
      <c r="F211" s="2499"/>
      <c r="G211" s="2504"/>
      <c r="H211" s="1516"/>
      <c r="I211" s="2510"/>
      <c r="J211" s="2464"/>
      <c r="K211" s="1526"/>
      <c r="L211" s="2456"/>
      <c r="M211" s="2456"/>
      <c r="N211" s="1506"/>
      <c r="O211" s="2456"/>
      <c r="P211" s="2464"/>
      <c r="Q211" s="1704"/>
      <c r="R211" s="2456"/>
      <c r="S211" s="2456"/>
      <c r="T211" s="1770"/>
      <c r="U211" s="2456"/>
      <c r="V211" s="2464"/>
      <c r="W211" s="1509"/>
      <c r="X211" s="2456"/>
      <c r="Y211" s="2456"/>
      <c r="Z211" s="1700"/>
      <c r="AA211" s="1702"/>
      <c r="AB211" s="2513"/>
      <c r="AC211" s="2513"/>
      <c r="AD211" s="2513"/>
      <c r="AE211" s="2513"/>
      <c r="AF211" s="2513"/>
      <c r="AG211" s="2513"/>
      <c r="AH211" s="2513"/>
      <c r="AI211" s="2514"/>
    </row>
    <row r="212" spans="1:63" s="2398" customFormat="1" ht="15" customHeight="1">
      <c r="D212" s="2825"/>
      <c r="E212" s="2499"/>
      <c r="F212" s="2499"/>
      <c r="G212" s="2504"/>
      <c r="H212" s="1516"/>
      <c r="I212" s="2510"/>
      <c r="J212" s="2464"/>
      <c r="K212" s="1526"/>
      <c r="L212" s="2456"/>
      <c r="M212" s="2456"/>
      <c r="N212" s="1506"/>
      <c r="O212" s="2456"/>
      <c r="P212" s="2464"/>
      <c r="Q212" s="1704"/>
      <c r="R212" s="2456"/>
      <c r="S212" s="2456"/>
      <c r="T212" s="1771"/>
      <c r="U212" s="1513"/>
      <c r="V212" s="2513"/>
      <c r="W212" s="2513"/>
      <c r="X212" s="2513"/>
      <c r="Y212" s="2513"/>
      <c r="Z212" s="2513"/>
      <c r="AA212" s="2513"/>
      <c r="AB212" s="2513"/>
      <c r="AC212" s="2513"/>
      <c r="AD212" s="2513"/>
      <c r="AE212" s="2513"/>
      <c r="AF212" s="2513"/>
      <c r="AG212" s="2513"/>
      <c r="AH212" s="2513"/>
      <c r="AI212" s="2514"/>
    </row>
    <row r="213" spans="1:63" s="2398" customFormat="1" ht="11.25" customHeight="1">
      <c r="D213" s="2825"/>
      <c r="E213" s="2499"/>
      <c r="F213" s="2499"/>
      <c r="G213" s="2504"/>
      <c r="H213" s="1517"/>
      <c r="I213" s="2510"/>
      <c r="J213" s="2464"/>
      <c r="K213" s="1526"/>
      <c r="L213" s="2456"/>
      <c r="M213" s="2456"/>
      <c r="N213" s="1702"/>
      <c r="O213" s="1702"/>
      <c r="P213" s="2513"/>
      <c r="Q213" s="2513"/>
      <c r="R213" s="2513"/>
      <c r="S213" s="2513"/>
      <c r="T213" s="2513"/>
      <c r="U213" s="2513"/>
      <c r="V213" s="2513"/>
      <c r="W213" s="2513"/>
      <c r="X213" s="2513"/>
      <c r="Y213" s="2513"/>
      <c r="Z213" s="2513"/>
      <c r="AA213" s="2513"/>
      <c r="AB213" s="2513"/>
      <c r="AC213" s="2513"/>
      <c r="AD213" s="2513"/>
      <c r="AE213" s="2513"/>
      <c r="AF213" s="2513"/>
      <c r="AG213" s="2513"/>
      <c r="AH213" s="2513"/>
      <c r="AI213" s="2514"/>
    </row>
    <row r="214" spans="1:63" s="2325" customFormat="1" ht="11.25" customHeight="1">
      <c r="D214" s="2825"/>
      <c r="E214" s="2499"/>
      <c r="F214" s="2499"/>
      <c r="G214" s="2515"/>
      <c r="H214" s="1514"/>
      <c r="I214" s="1518"/>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2"/>
      <c r="BK214" s="1490"/>
    </row>
    <row r="215" spans="1:63" ht="17.25" customHeight="1">
      <c r="A215" s="1762"/>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381"/>
    <col min="2" max="2" width="43.140625" style="2381" hidden="1"/>
    <col min="3" max="3" width="43.140625" style="2381"/>
    <col min="4" max="5" width="36.42578125" style="2381" customWidth="1"/>
    <col min="6" max="8" width="36.42578125" style="2382" customWidth="1"/>
  </cols>
  <sheetData>
    <row r="1" spans="1:8" ht="9" customHeight="1">
      <c r="A1" s="773" t="s">
        <v>2088</v>
      </c>
      <c r="B1" s="773"/>
      <c r="C1" s="905" t="s">
        <v>2089</v>
      </c>
      <c r="D1" s="904" t="s">
        <v>913</v>
      </c>
      <c r="E1" s="904" t="s">
        <v>961</v>
      </c>
      <c r="F1" s="904" t="s">
        <v>1014</v>
      </c>
      <c r="G1" s="904" t="s">
        <v>1001</v>
      </c>
      <c r="H1" s="904" t="s">
        <v>1770</v>
      </c>
    </row>
    <row r="2" spans="1:8" ht="9" customHeight="1">
      <c r="A2" s="906" t="s">
        <v>2090</v>
      </c>
      <c r="B2" s="906"/>
      <c r="C2" s="907" t="str">
        <f>INDEX(TEMPLATE_NUMBER_FORM_LIST,MATCH(TEMPLATE_SPHERE,TEMPLATE_SPHERE_LIST,0))</f>
        <v>16</v>
      </c>
      <c r="D2" s="906" t="s">
        <v>99</v>
      </c>
      <c r="E2" s="906" t="s">
        <v>150</v>
      </c>
      <c r="F2" s="908" t="s">
        <v>150</v>
      </c>
      <c r="G2" s="906" t="s">
        <v>150</v>
      </c>
      <c r="H2" s="909"/>
    </row>
    <row r="3" spans="1:8" ht="63" customHeight="1">
      <c r="A3" s="773"/>
      <c r="B3" s="773" t="s">
        <v>109</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2091</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3"/>
    </row>
    <row r="4" spans="1:8" ht="243" customHeight="1">
      <c r="A4" s="773" t="s">
        <v>2092</v>
      </c>
      <c r="B4" s="773" t="s">
        <v>110</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2093</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3" t="s">
        <v>2094</v>
      </c>
    </row>
    <row r="5" spans="1:8" ht="117" customHeight="1">
      <c r="A5" s="773" t="s">
        <v>2095</v>
      </c>
      <c r="B5" s="773"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2096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3" t="s">
        <v>2097</v>
      </c>
    </row>
    <row r="6" spans="1:8" ht="90" customHeight="1">
      <c r="A6" s="773" t="s">
        <v>2098</v>
      </c>
      <c r="B6" s="773"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09"/>
    </row>
    <row r="7" spans="1:8" ht="45" customHeight="1">
      <c r="A7" s="773" t="s">
        <v>2099</v>
      </c>
      <c r="B7" s="773" t="s">
        <v>111</v>
      </c>
      <c r="C7" s="907" t="str">
        <f>IF(TEMPLATE_SPHERE="HEAT",D7,E7)</f>
        <v>Форма 11. Информация о расходах на капитальный и текущий ремонт основных средств</v>
      </c>
      <c r="D7" s="773" t="s">
        <v>2100</v>
      </c>
      <c r="E7" s="773" t="s">
        <v>2101</v>
      </c>
      <c r="F7" s="909"/>
      <c r="G7" s="909"/>
      <c r="H7" s="909"/>
    </row>
    <row r="8" spans="1:8" ht="108" customHeight="1">
      <c r="A8" s="773" t="s">
        <v>2102</v>
      </c>
      <c r="B8" s="773"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1316</v>
      </c>
      <c r="E8" s="773" t="s">
        <v>2103</v>
      </c>
      <c r="F8" s="909"/>
      <c r="G8" s="909"/>
      <c r="H8" s="909"/>
    </row>
    <row r="9" spans="1:8" ht="99" customHeight="1">
      <c r="A9" s="773" t="s">
        <v>2104</v>
      </c>
      <c r="B9" s="773"/>
      <c r="C9" s="773" t="s">
        <v>2105</v>
      </c>
      <c r="D9" s="773"/>
      <c r="E9" s="773"/>
      <c r="F9" s="909"/>
      <c r="G9" s="909"/>
      <c r="H9" s="909"/>
    </row>
    <row r="10" spans="1:8" ht="126" customHeight="1">
      <c r="A10" s="773" t="s">
        <v>2106</v>
      </c>
      <c r="B10" s="773"/>
      <c r="C10" s="773" t="s">
        <v>2107</v>
      </c>
      <c r="D10" s="773"/>
      <c r="E10" s="773"/>
      <c r="F10" s="909"/>
      <c r="G10" s="909"/>
      <c r="H10" s="909"/>
    </row>
    <row r="11" spans="1:8" ht="108" customHeight="1">
      <c r="A11" s="773" t="s">
        <v>2108</v>
      </c>
      <c r="B11" s="773"/>
      <c r="C11" s="773" t="s">
        <v>2109</v>
      </c>
      <c r="D11" s="773"/>
      <c r="E11" s="773"/>
      <c r="F11" s="909"/>
      <c r="G11" s="909"/>
      <c r="H11" s="909"/>
    </row>
    <row r="12" spans="1:8" ht="54" customHeight="1">
      <c r="A12" s="773" t="s">
        <v>2110</v>
      </c>
      <c r="B12" s="773"/>
      <c r="C12" s="773" t="s">
        <v>2111</v>
      </c>
      <c r="D12" s="773"/>
      <c r="E12" s="773"/>
      <c r="F12" s="909"/>
      <c r="G12" s="909"/>
      <c r="H12" s="909"/>
    </row>
    <row r="13" spans="1:8" ht="45" customHeight="1">
      <c r="A13" s="773" t="s">
        <v>2112</v>
      </c>
      <c r="B13" s="773"/>
      <c r="C13" s="773" t="s">
        <v>2113</v>
      </c>
      <c r="D13" s="773"/>
      <c r="E13" s="773"/>
      <c r="F13" s="909"/>
      <c r="G13" s="909"/>
      <c r="H13" s="909"/>
    </row>
    <row r="14" spans="1:8" ht="117" customHeight="1">
      <c r="A14" s="773" t="s">
        <v>2114</v>
      </c>
      <c r="B14" s="773"/>
      <c r="C14" s="773" t="s">
        <v>2115</v>
      </c>
      <c r="D14" s="773"/>
      <c r="E14" s="773"/>
      <c r="F14" s="909"/>
      <c r="G14" s="909"/>
      <c r="H14" s="909"/>
    </row>
    <row r="15" spans="1:8" ht="117" customHeight="1">
      <c r="A15" s="773" t="s">
        <v>2116</v>
      </c>
      <c r="B15" s="773"/>
      <c r="C15" s="773" t="s">
        <v>2117</v>
      </c>
      <c r="D15" s="773"/>
      <c r="E15" s="773"/>
      <c r="F15" s="909"/>
      <c r="G15" s="909"/>
      <c r="H15" s="909"/>
    </row>
    <row r="16" spans="1:8" ht="63" customHeight="1">
      <c r="A16" s="773" t="s">
        <v>2118</v>
      </c>
      <c r="B16" s="773"/>
      <c r="C16" s="773" t="s">
        <v>2119</v>
      </c>
      <c r="D16" s="773"/>
      <c r="E16" s="773"/>
      <c r="F16" s="909"/>
      <c r="G16" s="909"/>
      <c r="H16" s="909"/>
    </row>
    <row r="17" spans="1:8" ht="54" customHeight="1">
      <c r="A17" s="773" t="s">
        <v>2120</v>
      </c>
      <c r="B17" s="773"/>
      <c r="C17" s="907" t="s">
        <v>2121</v>
      </c>
      <c r="D17" s="773"/>
      <c r="E17" s="773"/>
      <c r="F17" s="909"/>
      <c r="G17" s="909"/>
      <c r="H17" s="909"/>
    </row>
    <row r="18" spans="1:8" ht="27" customHeight="1">
      <c r="A18" s="773" t="s">
        <v>2122</v>
      </c>
      <c r="B18" s="773"/>
      <c r="C18" s="907" t="s">
        <v>2123</v>
      </c>
      <c r="D18" s="773"/>
      <c r="E18" s="773"/>
      <c r="F18" s="909"/>
      <c r="G18" s="909"/>
      <c r="H18" s="909"/>
    </row>
    <row r="19" spans="1:8" ht="54" customHeight="1">
      <c r="A19" s="773" t="s">
        <v>2124</v>
      </c>
      <c r="B19" s="773"/>
      <c r="C19" s="907" t="s">
        <v>2125</v>
      </c>
      <c r="D19" s="773"/>
      <c r="E19" s="773"/>
      <c r="F19" s="909"/>
      <c r="G19" s="909"/>
      <c r="H19" s="909"/>
    </row>
    <row r="20" spans="1:8" ht="36" customHeight="1">
      <c r="A20" s="773" t="s">
        <v>2126</v>
      </c>
      <c r="B20" s="773"/>
      <c r="C20" s="907" t="s">
        <v>2127</v>
      </c>
      <c r="D20" s="773"/>
      <c r="E20" s="773"/>
      <c r="F20" s="909"/>
      <c r="G20" s="909"/>
      <c r="H20" s="909"/>
    </row>
    <row r="21" spans="1:8" ht="36" customHeight="1">
      <c r="A21" s="773" t="s">
        <v>2128</v>
      </c>
      <c r="B21" s="773"/>
      <c r="C21" s="907" t="s">
        <v>2129</v>
      </c>
      <c r="D21" s="773"/>
      <c r="E21" s="773"/>
      <c r="F21" s="909"/>
      <c r="G21" s="909"/>
      <c r="H21" s="909"/>
    </row>
    <row r="22" spans="1:8" ht="27" customHeight="1">
      <c r="A22" s="773" t="s">
        <v>2130</v>
      </c>
      <c r="B22" s="773"/>
      <c r="C22" s="907" t="s">
        <v>2131</v>
      </c>
      <c r="D22" s="773"/>
      <c r="E22" s="773"/>
      <c r="F22" s="909"/>
      <c r="G22" s="909"/>
      <c r="H22" s="909"/>
    </row>
    <row r="23" spans="1:8" ht="36" customHeight="1">
      <c r="A23" s="773" t="s">
        <v>2132</v>
      </c>
      <c r="B23" s="773"/>
      <c r="C23" s="907" t="s">
        <v>2133</v>
      </c>
      <c r="D23" s="773"/>
      <c r="E23" s="773"/>
      <c r="F23" s="909"/>
      <c r="G23" s="909"/>
      <c r="H23" s="909"/>
    </row>
    <row r="24" spans="1:8" ht="28.5" customHeight="1">
      <c r="A24" s="773" t="s">
        <v>2134</v>
      </c>
      <c r="B24" s="773"/>
      <c r="C24" s="907" t="s">
        <v>2135</v>
      </c>
      <c r="D24" s="773"/>
      <c r="E24" s="773"/>
      <c r="F24" s="909"/>
      <c r="G24" s="909"/>
      <c r="H24" s="909"/>
    </row>
    <row r="25" spans="1:8" ht="36" customHeight="1">
      <c r="A25" s="773" t="s">
        <v>2136</v>
      </c>
      <c r="B25" s="773"/>
      <c r="C25" s="907" t="s">
        <v>2137</v>
      </c>
      <c r="D25" s="773"/>
      <c r="E25" s="773"/>
      <c r="F25" s="909"/>
      <c r="G25" s="909"/>
      <c r="H25" s="909"/>
    </row>
    <row r="26" spans="1:8" ht="27" customHeight="1">
      <c r="A26" s="773" t="s">
        <v>2138</v>
      </c>
      <c r="B26" s="773"/>
      <c r="C26" s="907" t="s">
        <v>2139</v>
      </c>
      <c r="D26" s="773"/>
      <c r="E26" s="773"/>
      <c r="F26" s="909"/>
      <c r="G26" s="909"/>
      <c r="H26" s="909"/>
    </row>
    <row r="27" spans="1:8" ht="36" customHeight="1">
      <c r="A27" s="773" t="s">
        <v>2140</v>
      </c>
      <c r="B27" s="773"/>
      <c r="C27" s="907" t="s">
        <v>2141</v>
      </c>
      <c r="D27" s="773"/>
      <c r="E27" s="773"/>
      <c r="F27" s="909"/>
      <c r="G27" s="909"/>
      <c r="H27" s="909"/>
    </row>
    <row r="28" spans="1:8" ht="28.5" customHeight="1">
      <c r="A28" s="773" t="s">
        <v>2142</v>
      </c>
      <c r="B28" s="773"/>
      <c r="C28" s="907" t="s">
        <v>2143</v>
      </c>
      <c r="D28" s="773"/>
      <c r="E28" s="773"/>
      <c r="F28" s="909"/>
      <c r="G28" s="909"/>
      <c r="H28" s="909"/>
    </row>
    <row r="29" spans="1:8" ht="126" customHeight="1">
      <c r="A29" s="773" t="s">
        <v>2144</v>
      </c>
      <c r="B29" s="773" t="s">
        <v>1721</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2145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3" t="s">
        <v>2146</v>
      </c>
    </row>
    <row r="30" spans="1:8" ht="36" customHeight="1">
      <c r="A30" s="773" t="s">
        <v>2147</v>
      </c>
      <c r="B30" s="773"/>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2148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3" t="s">
        <v>2149</v>
      </c>
      <c r="B31" s="773"/>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2150</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3" t="s">
        <v>2151</v>
      </c>
      <c r="B32" s="773"/>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2152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3" t="s">
        <v>2153</v>
      </c>
    </row>
    <row r="33" spans="1:8" ht="9" customHeight="1">
      <c r="A33" s="773"/>
      <c r="B33" s="773"/>
      <c r="C33" s="907"/>
      <c r="D33" s="773"/>
      <c r="E33" s="773"/>
      <c r="F33" s="909"/>
      <c r="G33" s="909"/>
      <c r="H33" s="909"/>
    </row>
    <row r="34" spans="1:8" ht="9" customHeight="1">
      <c r="A34" s="773"/>
      <c r="B34" s="773" t="s">
        <v>1658</v>
      </c>
      <c r="C34" s="907">
        <f>INDEX(TEMPLATE_NAME_FORM_LIST,B34,MATCH(TEMPLATE_SPHERE,TEMPLATE_SPHERE_LIST,0))</f>
        <v>0</v>
      </c>
      <c r="D34" s="773"/>
      <c r="E34" s="773"/>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381"/>
    <col min="3" max="7" width="8" style="2384" customWidth="1"/>
    <col min="8" max="12" width="8.5703125" style="2384" customWidth="1"/>
    <col min="13" max="14" width="27.7109375" style="2384" customWidth="1"/>
    <col min="15" max="19" width="5.140625" style="2384" customWidth="1"/>
    <col min="20" max="24" width="27.7109375" style="2384" customWidth="1"/>
    <col min="25" max="25" width="1.85546875" style="2385" customWidth="1"/>
    <col min="26" max="26" width="27.7109375" style="2381" customWidth="1"/>
    <col min="27" max="27" width="27.7109375" style="2386" customWidth="1"/>
    <col min="28" max="29" width="27.7109375" style="2381" customWidth="1"/>
    <col min="30" max="30" width="3.85546875" style="2381" customWidth="1"/>
    <col min="31" max="34" width="9.140625" style="2381"/>
  </cols>
  <sheetData>
    <row r="1" spans="1:34" s="2383" customFormat="1" ht="18" customHeight="1">
      <c r="A1" s="823"/>
      <c r="B1" s="823"/>
      <c r="C1" s="823" t="s">
        <v>2154</v>
      </c>
      <c r="D1" s="823"/>
      <c r="E1" s="823"/>
      <c r="F1" s="823"/>
      <c r="G1" s="823"/>
      <c r="H1" s="823" t="s">
        <v>2155</v>
      </c>
      <c r="I1" s="823"/>
      <c r="J1" s="823"/>
      <c r="K1" s="823"/>
      <c r="L1" s="823"/>
      <c r="M1" s="823" t="s">
        <v>2156</v>
      </c>
      <c r="N1" s="823" t="s">
        <v>2157</v>
      </c>
      <c r="O1" s="2833" t="s">
        <v>2158</v>
      </c>
      <c r="P1" s="2833"/>
      <c r="Q1" s="2833"/>
      <c r="R1" s="2833"/>
      <c r="S1" s="2833"/>
      <c r="T1" s="2833" t="s">
        <v>2156</v>
      </c>
      <c r="U1" s="2833"/>
      <c r="V1" s="2833"/>
      <c r="W1" s="2833"/>
      <c r="X1" s="2833"/>
      <c r="Y1" s="922"/>
      <c r="Z1" s="2833" t="s">
        <v>2159</v>
      </c>
      <c r="AA1" s="2833"/>
      <c r="AB1" s="2833"/>
      <c r="AC1" s="2833"/>
      <c r="AD1" s="2833"/>
    </row>
    <row r="2" spans="1:34" ht="18" customHeight="1">
      <c r="A2" s="773"/>
      <c r="B2" s="773"/>
      <c r="C2" s="769" t="s">
        <v>913</v>
      </c>
      <c r="D2" s="769" t="s">
        <v>961</v>
      </c>
      <c r="E2" s="769" t="s">
        <v>1014</v>
      </c>
      <c r="F2" s="769" t="s">
        <v>1001</v>
      </c>
      <c r="G2" s="769" t="s">
        <v>1770</v>
      </c>
      <c r="H2" s="770"/>
      <c r="I2" s="770"/>
      <c r="J2" s="770"/>
      <c r="K2" s="770"/>
      <c r="L2" s="770"/>
      <c r="M2" s="770"/>
      <c r="N2" s="770"/>
      <c r="O2" s="769" t="s">
        <v>913</v>
      </c>
      <c r="P2" s="769" t="s">
        <v>961</v>
      </c>
      <c r="Q2" s="769" t="s">
        <v>1001</v>
      </c>
      <c r="R2" s="769" t="s">
        <v>1014</v>
      </c>
      <c r="S2" s="769" t="s">
        <v>1770</v>
      </c>
      <c r="T2" s="769" t="s">
        <v>913</v>
      </c>
      <c r="U2" s="769" t="s">
        <v>961</v>
      </c>
      <c r="V2" s="769" t="s">
        <v>1001</v>
      </c>
      <c r="W2" s="769" t="s">
        <v>1014</v>
      </c>
      <c r="X2" s="769" t="s">
        <v>1770</v>
      </c>
      <c r="Y2" s="769"/>
      <c r="Z2" s="769" t="s">
        <v>913</v>
      </c>
      <c r="AA2" s="777" t="s">
        <v>961</v>
      </c>
      <c r="AB2" s="769" t="s">
        <v>1001</v>
      </c>
      <c r="AC2" s="769" t="s">
        <v>1014</v>
      </c>
      <c r="AD2" s="769" t="s">
        <v>1770</v>
      </c>
    </row>
    <row r="3" spans="1:34" ht="162" customHeight="1">
      <c r="A3" s="772" t="s">
        <v>27</v>
      </c>
      <c r="B3" s="772"/>
      <c r="C3" s="2837" t="s">
        <v>2160</v>
      </c>
      <c r="D3" s="2838"/>
      <c r="E3" s="2838"/>
      <c r="F3" s="2839"/>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3"/>
      <c r="Z3" s="773" t="s">
        <v>2161</v>
      </c>
      <c r="AA3" s="770" t="s">
        <v>2162</v>
      </c>
      <c r="AB3" s="773" t="s">
        <v>2163</v>
      </c>
      <c r="AC3" s="773" t="s">
        <v>2164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3"/>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3"/>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3"/>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3"/>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3"/>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3"/>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34" t="s">
        <v>33</v>
      </c>
      <c r="B11" s="824">
        <v>1</v>
      </c>
      <c r="C11" s="2840" t="s">
        <v>1708</v>
      </c>
      <c r="D11" s="2840" t="s">
        <v>1704</v>
      </c>
      <c r="E11" s="2840" t="s">
        <v>1803</v>
      </c>
      <c r="F11" s="2840" t="s">
        <v>2165</v>
      </c>
      <c r="G11" s="2840"/>
      <c r="H11" s="823" t="s">
        <v>2166</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2167</v>
      </c>
      <c r="U11" s="770" t="s">
        <v>2168</v>
      </c>
      <c r="V11" s="770"/>
      <c r="W11" s="770"/>
      <c r="X11" s="770"/>
      <c r="Y11" s="923"/>
      <c r="Z11" s="773" t="s">
        <v>2169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834"/>
      <c r="B12" s="824">
        <v>2</v>
      </c>
      <c r="C12" s="2841"/>
      <c r="D12" s="2841"/>
      <c r="E12" s="2841"/>
      <c r="F12" s="2841"/>
      <c r="G12" s="2841"/>
      <c r="H12" s="823" t="s">
        <v>2170</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2171</v>
      </c>
      <c r="U12" s="770" t="s">
        <v>2172</v>
      </c>
      <c r="V12" s="770"/>
      <c r="W12" s="770"/>
      <c r="X12" s="770"/>
      <c r="Y12" s="923"/>
      <c r="Z12" s="773" t="s">
        <v>2173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834"/>
      <c r="B13" s="824">
        <v>3</v>
      </c>
      <c r="C13" s="2841"/>
      <c r="D13" s="2841"/>
      <c r="E13" s="2841"/>
      <c r="F13" s="2841"/>
      <c r="G13" s="2841"/>
      <c r="H13" s="2833" t="s">
        <v>2174</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2175</v>
      </c>
      <c r="U13" s="771" t="s">
        <v>2176</v>
      </c>
      <c r="V13" s="771"/>
      <c r="W13" s="771"/>
      <c r="X13" s="770"/>
      <c r="Y13" s="923"/>
      <c r="Z13" s="773" t="s">
        <v>2177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834"/>
      <c r="B14" s="824">
        <v>4</v>
      </c>
      <c r="C14" s="2841"/>
      <c r="D14" s="2841"/>
      <c r="E14" s="2841"/>
      <c r="F14" s="2841"/>
      <c r="G14" s="2841"/>
      <c r="H14" s="2833"/>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2178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3"/>
      <c r="Z14" s="773" t="s">
        <v>2179</v>
      </c>
      <c r="AA14" s="776" t="s">
        <v>2179</v>
      </c>
      <c r="AB14" s="773"/>
      <c r="AC14" s="773"/>
      <c r="AD14" s="773"/>
    </row>
    <row r="15" spans="1:34" ht="108" customHeight="1">
      <c r="A15" s="2834"/>
      <c r="B15" s="824">
        <v>5</v>
      </c>
      <c r="C15" s="2841"/>
      <c r="D15" s="2841"/>
      <c r="E15" s="2841"/>
      <c r="F15" s="2841"/>
      <c r="G15" s="2841"/>
      <c r="H15" s="2835" t="s">
        <v>2180</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2181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3"/>
      <c r="Z15" s="773" t="s">
        <v>2182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842"/>
      <c r="D16" s="2842"/>
      <c r="E16" s="2842"/>
      <c r="F16" s="2842"/>
      <c r="G16" s="2842"/>
      <c r="H16" s="2836"/>
      <c r="I16" s="886"/>
      <c r="J16" s="886"/>
      <c r="K16" s="886"/>
      <c r="L16" s="886"/>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3"/>
      <c r="Z16" s="773" t="s">
        <v>2182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1806</v>
      </c>
      <c r="B18" s="824">
        <v>1</v>
      </c>
      <c r="C18" s="770" t="s">
        <v>2166</v>
      </c>
      <c r="D18" s="891" t="s">
        <v>2166</v>
      </c>
      <c r="E18" s="770" t="s">
        <v>2166</v>
      </c>
      <c r="F18" s="770" t="s">
        <v>2166</v>
      </c>
      <c r="G18" s="770"/>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2183</v>
      </c>
      <c r="U18" s="773" t="s">
        <v>2184</v>
      </c>
      <c r="V18" s="773" t="s">
        <v>2185</v>
      </c>
      <c r="W18" s="773" t="s">
        <v>2186</v>
      </c>
      <c r="X18" s="770"/>
      <c r="Y18" s="923"/>
      <c r="Z18" s="773" t="s">
        <v>2187</v>
      </c>
      <c r="AA18" s="776" t="s">
        <v>2188</v>
      </c>
      <c r="AB18" s="776" t="s">
        <v>2188</v>
      </c>
      <c r="AC18" s="776" t="s">
        <v>2188</v>
      </c>
      <c r="AD18" s="773"/>
    </row>
    <row r="19" spans="1:30" ht="36" customHeight="1">
      <c r="A19" s="772"/>
      <c r="B19" s="824">
        <v>2</v>
      </c>
      <c r="C19" s="770" t="s">
        <v>2170</v>
      </c>
      <c r="D19" s="891" t="s">
        <v>2170</v>
      </c>
      <c r="E19" s="770" t="s">
        <v>2170</v>
      </c>
      <c r="F19" s="770" t="s">
        <v>2170</v>
      </c>
      <c r="G19" s="770"/>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1">
        <v>2</v>
      </c>
      <c r="P19" s="881">
        <v>2</v>
      </c>
      <c r="Q19" s="881">
        <v>2</v>
      </c>
      <c r="R19" s="881">
        <v>2</v>
      </c>
      <c r="S19" s="881"/>
      <c r="T19" s="888" t="s">
        <v>2189</v>
      </c>
      <c r="U19" s="773" t="s">
        <v>2190</v>
      </c>
      <c r="V19" s="773" t="s">
        <v>2191</v>
      </c>
      <c r="W19" s="773" t="s">
        <v>2192</v>
      </c>
      <c r="X19" s="770"/>
      <c r="Y19" s="923"/>
      <c r="Z19" s="773" t="s">
        <v>2193</v>
      </c>
      <c r="AA19" s="776" t="s">
        <v>2193</v>
      </c>
      <c r="AB19" s="776" t="s">
        <v>2193</v>
      </c>
      <c r="AC19" s="776" t="s">
        <v>2193</v>
      </c>
      <c r="AD19" s="773"/>
    </row>
    <row r="20" spans="1:30" ht="27" customHeight="1">
      <c r="A20" s="772"/>
      <c r="B20" s="824">
        <v>3</v>
      </c>
      <c r="C20" s="770">
        <v>1</v>
      </c>
      <c r="D20" s="891"/>
      <c r="E20" s="770"/>
      <c r="F20" s="770"/>
      <c r="G20" s="770"/>
      <c r="H20" s="924"/>
      <c r="I20" s="927" t="str">
        <f t="shared" si="1"/>
        <v>2.1</v>
      </c>
      <c r="J20" s="927" t="str">
        <f t="shared" si="2"/>
        <v>Расходы на приобретаемую тепловую энергию (мощность), теплоноситель</v>
      </c>
      <c r="K20" s="927">
        <f t="shared" si="3"/>
        <v>0</v>
      </c>
      <c r="L20" s="771" t="str">
        <f t="shared" si="4"/>
        <v>2.1</v>
      </c>
      <c r="M20" s="771" t="str">
        <f t="shared" si="5"/>
        <v>Расходы на приобретаемую тепловую энергию (мощность), теплоноситель</v>
      </c>
      <c r="N20" s="771" t="str">
        <f t="shared" si="6"/>
        <v/>
      </c>
      <c r="O20" s="881" t="s">
        <v>795</v>
      </c>
      <c r="P20" s="881" t="s">
        <v>795</v>
      </c>
      <c r="Q20" s="881" t="s">
        <v>795</v>
      </c>
      <c r="R20" s="881" t="s">
        <v>795</v>
      </c>
      <c r="S20" s="881"/>
      <c r="T20" s="888" t="s">
        <v>2194</v>
      </c>
      <c r="U20" s="773" t="s">
        <v>2195</v>
      </c>
      <c r="V20" s="773" t="s">
        <v>2196</v>
      </c>
      <c r="W20" s="773" t="s">
        <v>2197</v>
      </c>
      <c r="X20" s="770"/>
      <c r="Y20" s="923"/>
      <c r="Z20" s="773"/>
      <c r="AA20" s="776"/>
      <c r="AB20" s="773"/>
      <c r="AC20" s="773"/>
      <c r="AD20" s="773"/>
    </row>
    <row r="21" spans="1:30" ht="36" customHeight="1">
      <c r="A21" s="772"/>
      <c r="B21" s="824">
        <v>4</v>
      </c>
      <c r="C21" s="770">
        <v>2</v>
      </c>
      <c r="D21" s="891"/>
      <c r="E21" s="770"/>
      <c r="F21" s="770"/>
      <c r="G21" s="770"/>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1" t="s">
        <v>306</v>
      </c>
      <c r="P21" s="881"/>
      <c r="Q21" s="881"/>
      <c r="R21" s="881"/>
      <c r="S21" s="881"/>
      <c r="T21" s="888" t="s">
        <v>2198</v>
      </c>
      <c r="U21" s="773"/>
      <c r="V21" s="773"/>
      <c r="W21" s="773"/>
      <c r="X21" s="770"/>
      <c r="Y21" s="923"/>
      <c r="Z21" s="773" t="s">
        <v>2199</v>
      </c>
      <c r="AA21" s="776"/>
      <c r="AB21" s="773"/>
      <c r="AC21" s="773"/>
      <c r="AD21" s="773"/>
    </row>
    <row r="22" spans="1:30" ht="36" customHeight="1">
      <c r="A22" s="772"/>
      <c r="B22" s="824">
        <v>5</v>
      </c>
      <c r="C22" s="770">
        <v>3</v>
      </c>
      <c r="D22" s="891"/>
      <c r="E22" s="770"/>
      <c r="F22" s="770"/>
      <c r="G22" s="816"/>
      <c r="H22" s="882"/>
      <c r="I22" s="927">
        <f t="shared" si="1"/>
        <v>0</v>
      </c>
      <c r="J22" s="927">
        <f t="shared" si="2"/>
        <v>0</v>
      </c>
      <c r="K22" s="927">
        <f t="shared" si="3"/>
        <v>0</v>
      </c>
      <c r="L22" s="771" t="str">
        <f t="shared" si="4"/>
        <v/>
      </c>
      <c r="M22" s="771" t="str">
        <f t="shared" si="5"/>
        <v/>
      </c>
      <c r="N22" s="771" t="str">
        <f t="shared" si="6"/>
        <v/>
      </c>
      <c r="O22" s="881"/>
      <c r="P22" s="881"/>
      <c r="Q22" s="881" t="s">
        <v>306</v>
      </c>
      <c r="R22" s="881"/>
      <c r="S22" s="881"/>
      <c r="T22" s="888"/>
      <c r="U22" s="773"/>
      <c r="V22" s="773" t="s">
        <v>2200</v>
      </c>
      <c r="W22" s="773"/>
      <c r="X22" s="770"/>
      <c r="Y22" s="923"/>
      <c r="Z22" s="773"/>
      <c r="AA22" s="776"/>
      <c r="AB22" s="773"/>
      <c r="AC22" s="773"/>
      <c r="AD22" s="773"/>
    </row>
    <row r="23" spans="1:30" ht="27" customHeight="1">
      <c r="A23" s="772"/>
      <c r="B23" s="824">
        <v>6</v>
      </c>
      <c r="C23" s="770">
        <v>4</v>
      </c>
      <c r="D23" s="891"/>
      <c r="E23" s="770"/>
      <c r="F23" s="770"/>
      <c r="G23" s="816"/>
      <c r="H23" s="882"/>
      <c r="I23" s="927">
        <f t="shared" si="1"/>
        <v>0</v>
      </c>
      <c r="J23" s="927">
        <f t="shared" si="2"/>
        <v>0</v>
      </c>
      <c r="K23" s="927">
        <f t="shared" si="3"/>
        <v>0</v>
      </c>
      <c r="L23" s="771" t="str">
        <f t="shared" si="4"/>
        <v/>
      </c>
      <c r="M23" s="771" t="str">
        <f t="shared" si="5"/>
        <v/>
      </c>
      <c r="N23" s="771" t="str">
        <f t="shared" si="6"/>
        <v/>
      </c>
      <c r="O23" s="881"/>
      <c r="P23" s="881"/>
      <c r="Q23" s="881" t="s">
        <v>309</v>
      </c>
      <c r="R23" s="881"/>
      <c r="S23" s="881"/>
      <c r="T23" s="888"/>
      <c r="U23" s="773"/>
      <c r="V23" s="773" t="s">
        <v>2201</v>
      </c>
      <c r="W23" s="773"/>
      <c r="X23" s="770"/>
      <c r="Y23" s="923"/>
      <c r="Z23" s="773"/>
      <c r="AA23" s="776"/>
      <c r="AB23" s="773"/>
      <c r="AC23" s="773"/>
      <c r="AD23" s="773"/>
    </row>
    <row r="24" spans="1:30" ht="36" customHeight="1">
      <c r="A24" s="772"/>
      <c r="B24" s="824">
        <v>7</v>
      </c>
      <c r="C24" s="770">
        <v>5</v>
      </c>
      <c r="D24" s="891"/>
      <c r="E24" s="770"/>
      <c r="F24" s="770"/>
      <c r="G24" s="816"/>
      <c r="H24" s="882"/>
      <c r="I24" s="927">
        <f t="shared" si="1"/>
        <v>0</v>
      </c>
      <c r="J24" s="927">
        <f t="shared" si="2"/>
        <v>0</v>
      </c>
      <c r="K24" s="927">
        <f t="shared" si="3"/>
        <v>0</v>
      </c>
      <c r="L24" s="771" t="str">
        <f t="shared" si="4"/>
        <v/>
      </c>
      <c r="M24" s="771" t="str">
        <f t="shared" si="5"/>
        <v/>
      </c>
      <c r="N24" s="771" t="str">
        <f t="shared" si="6"/>
        <v/>
      </c>
      <c r="O24" s="881"/>
      <c r="P24" s="881"/>
      <c r="Q24" s="881" t="s">
        <v>815</v>
      </c>
      <c r="R24" s="881"/>
      <c r="S24" s="881"/>
      <c r="T24" s="888"/>
      <c r="U24" s="773"/>
      <c r="V24" s="773" t="s">
        <v>2202</v>
      </c>
      <c r="W24" s="773"/>
      <c r="X24" s="770"/>
      <c r="Y24" s="923"/>
      <c r="Z24" s="773"/>
      <c r="AA24" s="776"/>
      <c r="AB24" s="773"/>
      <c r="AC24" s="773"/>
      <c r="AD24" s="773"/>
    </row>
    <row r="25" spans="1:30" ht="36" customHeight="1">
      <c r="A25" s="772"/>
      <c r="B25" s="824">
        <v>8</v>
      </c>
      <c r="C25" s="770">
        <v>6</v>
      </c>
      <c r="D25" s="891"/>
      <c r="E25" s="770"/>
      <c r="F25" s="770"/>
      <c r="G25" s="816"/>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1" t="s">
        <v>309</v>
      </c>
      <c r="P25" s="881" t="s">
        <v>306</v>
      </c>
      <c r="Q25" s="881" t="s">
        <v>822</v>
      </c>
      <c r="R25" s="881" t="s">
        <v>306</v>
      </c>
      <c r="S25" s="881"/>
      <c r="T25" s="888" t="s">
        <v>2203</v>
      </c>
      <c r="U25" s="773" t="s">
        <v>2203</v>
      </c>
      <c r="V25" s="773" t="s">
        <v>2203</v>
      </c>
      <c r="W25" s="773" t="s">
        <v>2203</v>
      </c>
      <c r="X25" s="770"/>
      <c r="Y25" s="923"/>
      <c r="Z25" s="773"/>
      <c r="AA25" s="776"/>
      <c r="AB25" s="773"/>
      <c r="AC25" s="773"/>
      <c r="AD25" s="773"/>
    </row>
    <row r="26" spans="1:30" ht="18" customHeight="1">
      <c r="A26" s="772"/>
      <c r="B26" s="824">
        <v>9</v>
      </c>
      <c r="C26" s="770" t="s">
        <v>739</v>
      </c>
      <c r="D26" s="891"/>
      <c r="E26" s="770"/>
      <c r="F26" s="770"/>
      <c r="G26" s="816"/>
      <c r="H26" s="882"/>
      <c r="I26" s="927" t="str">
        <f t="shared" si="1"/>
        <v>2.3.1</v>
      </c>
      <c r="J26" s="927" t="str">
        <f t="shared" si="2"/>
        <v>Средневзвешенная стоимость 1 кВт.ч (с учетом мощности)</v>
      </c>
      <c r="K26" s="927">
        <f t="shared" si="3"/>
        <v>0</v>
      </c>
      <c r="L26" s="771" t="str">
        <f t="shared" si="4"/>
        <v>2.3.1</v>
      </c>
      <c r="M26" s="771" t="str">
        <f t="shared" si="5"/>
        <v>Средневзвешенная стоимость 1 кВт.ч (с учетом мощности)</v>
      </c>
      <c r="N26" s="771" t="str">
        <f t="shared" si="6"/>
        <v/>
      </c>
      <c r="O26" s="881" t="s">
        <v>811</v>
      </c>
      <c r="P26" s="881" t="s">
        <v>805</v>
      </c>
      <c r="Q26" s="881" t="s">
        <v>2204</v>
      </c>
      <c r="R26" s="881" t="s">
        <v>805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2205</v>
      </c>
      <c r="V26" s="888" t="s">
        <v>2205</v>
      </c>
      <c r="W26" s="888" t="s">
        <v>2205</v>
      </c>
      <c r="X26" s="770"/>
      <c r="Y26" s="923"/>
      <c r="Z26" s="773"/>
      <c r="AA26" s="776"/>
      <c r="AB26" s="773"/>
      <c r="AC26" s="773"/>
      <c r="AD26" s="773"/>
    </row>
    <row r="27" spans="1:30" ht="18" customHeight="1">
      <c r="A27" s="772"/>
      <c r="B27" s="824">
        <v>10</v>
      </c>
      <c r="C27" s="770" t="s">
        <v>743</v>
      </c>
      <c r="D27" s="891"/>
      <c r="E27" s="770"/>
      <c r="F27" s="770"/>
      <c r="G27" s="816"/>
      <c r="H27" s="882"/>
      <c r="I27" s="927" t="str">
        <f t="shared" si="1"/>
        <v>2.3.2</v>
      </c>
      <c r="J27" s="927" t="str">
        <f t="shared" si="2"/>
        <v>Объём приобретения электрической энергии</v>
      </c>
      <c r="K27" s="927">
        <f t="shared" si="3"/>
        <v>0</v>
      </c>
      <c r="L27" s="771" t="str">
        <f t="shared" si="4"/>
        <v>2.3.2</v>
      </c>
      <c r="M27" s="771" t="str">
        <f t="shared" si="5"/>
        <v>Объём приобретения электрической энергии</v>
      </c>
      <c r="N27" s="771" t="str">
        <f t="shared" si="6"/>
        <v/>
      </c>
      <c r="O27" s="881" t="s">
        <v>813</v>
      </c>
      <c r="P27" s="881" t="s">
        <v>807</v>
      </c>
      <c r="Q27" s="881" t="s">
        <v>2206</v>
      </c>
      <c r="R27" s="881" t="s">
        <v>807</v>
      </c>
      <c r="S27" s="881"/>
      <c r="T27" s="888" t="s">
        <v>2207</v>
      </c>
      <c r="U27" s="888" t="s">
        <v>2207</v>
      </c>
      <c r="V27" s="888" t="s">
        <v>2207</v>
      </c>
      <c r="W27" s="888" t="s">
        <v>2207</v>
      </c>
      <c r="X27" s="770"/>
      <c r="Y27" s="923"/>
      <c r="Z27" s="773"/>
      <c r="AA27" s="776"/>
      <c r="AB27" s="773"/>
      <c r="AC27" s="773"/>
      <c r="AD27" s="773"/>
    </row>
    <row r="28" spans="1:30" ht="27" customHeight="1">
      <c r="A28" s="772"/>
      <c r="B28" s="824">
        <v>11</v>
      </c>
      <c r="C28" s="770">
        <v>7</v>
      </c>
      <c r="D28" s="891"/>
      <c r="E28" s="770"/>
      <c r="F28" s="770"/>
      <c r="G28" s="816"/>
      <c r="H28" s="882"/>
      <c r="I28" s="927" t="str">
        <f t="shared" si="1"/>
        <v>2.4</v>
      </c>
      <c r="J28" s="927" t="str">
        <f t="shared" si="2"/>
        <v>Расходы на приобретение холодной воды, используемой в технологическом процессе</v>
      </c>
      <c r="K28" s="927">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1" t="s">
        <v>815</v>
      </c>
      <c r="P28" s="881"/>
      <c r="Q28" s="881"/>
      <c r="R28" s="881"/>
      <c r="S28" s="881"/>
      <c r="T28" s="888" t="s">
        <v>2208</v>
      </c>
      <c r="U28" s="773"/>
      <c r="V28" s="773"/>
      <c r="W28" s="773"/>
      <c r="X28" s="770"/>
      <c r="Y28" s="923"/>
      <c r="Z28" s="773"/>
      <c r="AA28" s="776"/>
      <c r="AB28" s="773"/>
      <c r="AC28" s="773"/>
      <c r="AD28" s="773"/>
    </row>
    <row r="29" spans="1:30" ht="27" customHeight="1">
      <c r="A29" s="772"/>
      <c r="B29" s="824">
        <v>12</v>
      </c>
      <c r="C29" s="770">
        <v>8</v>
      </c>
      <c r="D29" s="891"/>
      <c r="E29" s="770"/>
      <c r="F29" s="770"/>
      <c r="G29" s="816"/>
      <c r="H29" s="882"/>
      <c r="I29" s="927" t="str">
        <f t="shared" si="1"/>
        <v>2.5</v>
      </c>
      <c r="J29" s="927" t="str">
        <f t="shared" si="2"/>
        <v>Расходы на  химические реагенты, используемые в технологическом процессе</v>
      </c>
      <c r="K29" s="927">
        <f t="shared" si="3"/>
        <v>0</v>
      </c>
      <c r="L29" s="771" t="str">
        <f t="shared" si="4"/>
        <v>2.5</v>
      </c>
      <c r="M29" s="771" t="str">
        <f t="shared" si="5"/>
        <v>Расходы на  химические реагенты, используемые в технологическом процессе</v>
      </c>
      <c r="N29" s="771" t="str">
        <f t="shared" si="6"/>
        <v/>
      </c>
      <c r="O29" s="881" t="s">
        <v>822</v>
      </c>
      <c r="P29" s="881" t="s">
        <v>309</v>
      </c>
      <c r="Q29" s="881"/>
      <c r="R29" s="881" t="s">
        <v>309</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2209</v>
      </c>
      <c r="V29" s="773"/>
      <c r="W29" s="773" t="s">
        <v>2209</v>
      </c>
      <c r="X29" s="770"/>
      <c r="Y29" s="923"/>
      <c r="Z29" s="773"/>
      <c r="AA29" s="776"/>
      <c r="AB29" s="773"/>
      <c r="AC29" s="773"/>
      <c r="AD29" s="773"/>
    </row>
    <row r="30" spans="1:30" ht="54" customHeight="1">
      <c r="A30" s="772"/>
      <c r="B30" s="824">
        <v>13</v>
      </c>
      <c r="C30" s="770">
        <v>9</v>
      </c>
      <c r="D30" s="891"/>
      <c r="E30" s="770"/>
      <c r="F30" s="770"/>
      <c r="G30" s="816"/>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1" t="s">
        <v>824</v>
      </c>
      <c r="P30" s="881" t="s">
        <v>815</v>
      </c>
      <c r="Q30" s="881" t="s">
        <v>824</v>
      </c>
      <c r="R30" s="881" t="s">
        <v>815</v>
      </c>
      <c r="S30" s="881"/>
      <c r="T30" s="888" t="s">
        <v>2210</v>
      </c>
      <c r="U30" s="773" t="s">
        <v>2210</v>
      </c>
      <c r="V30" s="773" t="s">
        <v>2210</v>
      </c>
      <c r="W30" s="773" t="s">
        <v>2210</v>
      </c>
      <c r="X30" s="770"/>
      <c r="Y30" s="923"/>
      <c r="Z30" s="773"/>
      <c r="AA30" s="776" t="s">
        <v>2211</v>
      </c>
      <c r="AB30" s="776" t="s">
        <v>2211</v>
      </c>
      <c r="AC30" s="776" t="s">
        <v>2211</v>
      </c>
      <c r="AD30" s="773"/>
    </row>
    <row r="31" spans="1:30" ht="18" customHeight="1">
      <c r="A31" s="772"/>
      <c r="B31" s="824">
        <v>14</v>
      </c>
      <c r="C31" s="770" t="s">
        <v>2212</v>
      </c>
      <c r="D31" s="891"/>
      <c r="E31" s="770"/>
      <c r="F31" s="770"/>
      <c r="G31" s="816"/>
      <c r="H31" s="882"/>
      <c r="I31" s="927" t="str">
        <f t="shared" si="1"/>
        <v>2.6.1</v>
      </c>
      <c r="J31" s="927" t="str">
        <f t="shared" si="2"/>
        <v>Расходы на оплату труда основного производственного персонала</v>
      </c>
      <c r="K31" s="927">
        <f t="shared" si="3"/>
        <v>0</v>
      </c>
      <c r="L31" s="771" t="str">
        <f t="shared" si="4"/>
        <v>2.6.1</v>
      </c>
      <c r="M31" s="771" t="str">
        <f t="shared" si="5"/>
        <v>Расходы на оплату труда основного производственного персонала</v>
      </c>
      <c r="N31" s="771" t="str">
        <f t="shared" si="6"/>
        <v/>
      </c>
      <c r="O31" s="881" t="s">
        <v>2213</v>
      </c>
      <c r="P31" s="881" t="s">
        <v>818</v>
      </c>
      <c r="Q31" s="881" t="s">
        <v>2213</v>
      </c>
      <c r="R31" s="881" t="s">
        <v>818</v>
      </c>
      <c r="S31" s="881"/>
      <c r="T31" s="889" t="s">
        <v>2214</v>
      </c>
      <c r="U31" s="773" t="s">
        <v>2214</v>
      </c>
      <c r="V31" s="773" t="s">
        <v>2214</v>
      </c>
      <c r="W31" s="773" t="s">
        <v>2214</v>
      </c>
      <c r="X31" s="770"/>
      <c r="Y31" s="923"/>
      <c r="Z31" s="773"/>
      <c r="AA31" s="776"/>
      <c r="AB31" s="776"/>
      <c r="AC31" s="776"/>
      <c r="AD31" s="773"/>
    </row>
    <row r="32" spans="1:30" ht="36" customHeight="1">
      <c r="A32" s="772"/>
      <c r="B32" s="824">
        <v>15</v>
      </c>
      <c r="C32" s="770" t="s">
        <v>2215</v>
      </c>
      <c r="D32" s="891"/>
      <c r="E32" s="770"/>
      <c r="F32" s="770"/>
      <c r="G32" s="816"/>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1" t="s">
        <v>2216</v>
      </c>
      <c r="P32" s="881" t="s">
        <v>820</v>
      </c>
      <c r="Q32" s="881" t="s">
        <v>2216</v>
      </c>
      <c r="R32" s="881" t="s">
        <v>820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2217</v>
      </c>
      <c r="V32" s="773" t="s">
        <v>2217</v>
      </c>
      <c r="W32" s="773" t="s">
        <v>2217</v>
      </c>
      <c r="X32" s="770"/>
      <c r="Y32" s="923"/>
      <c r="Z32" s="773"/>
      <c r="AA32" s="776"/>
      <c r="AB32" s="776"/>
      <c r="AC32" s="776"/>
      <c r="AD32" s="773"/>
    </row>
    <row r="33" spans="1:30" ht="45" customHeight="1">
      <c r="A33" s="772"/>
      <c r="B33" s="824">
        <v>16</v>
      </c>
      <c r="C33" s="770">
        <v>10</v>
      </c>
      <c r="D33" s="891"/>
      <c r="E33" s="770"/>
      <c r="F33" s="770"/>
      <c r="G33" s="816"/>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1" t="s">
        <v>826</v>
      </c>
      <c r="P33" s="881" t="s">
        <v>822</v>
      </c>
      <c r="Q33" s="881" t="s">
        <v>826</v>
      </c>
      <c r="R33" s="881" t="s">
        <v>822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2218</v>
      </c>
      <c r="V33" s="773" t="s">
        <v>2218</v>
      </c>
      <c r="W33" s="773" t="s">
        <v>2219</v>
      </c>
      <c r="X33" s="770"/>
      <c r="Y33" s="923"/>
      <c r="Z33" s="773"/>
      <c r="AA33" s="776" t="s">
        <v>2220</v>
      </c>
      <c r="AB33" s="776" t="s">
        <v>2220</v>
      </c>
      <c r="AC33" s="776" t="s">
        <v>2220</v>
      </c>
      <c r="AD33" s="773"/>
    </row>
    <row r="34" spans="1:30" ht="27" customHeight="1">
      <c r="A34" s="772"/>
      <c r="B34" s="824">
        <v>17</v>
      </c>
      <c r="C34" s="770" t="s">
        <v>2221</v>
      </c>
      <c r="D34" s="891"/>
      <c r="E34" s="770"/>
      <c r="F34" s="770"/>
      <c r="G34" s="816"/>
      <c r="H34" s="882"/>
      <c r="I34" s="927" t="str">
        <f t="shared" si="1"/>
        <v>2.7.1</v>
      </c>
      <c r="J34" s="927" t="str">
        <f t="shared" si="2"/>
        <v>Расходы на оплату труда административно-управленческого персонала</v>
      </c>
      <c r="K34" s="927">
        <f t="shared" si="3"/>
        <v>0</v>
      </c>
      <c r="L34" s="771" t="str">
        <f t="shared" si="4"/>
        <v>2.7.1</v>
      </c>
      <c r="M34" s="771" t="str">
        <f t="shared" si="5"/>
        <v>Расходы на оплату труда административно-управленческого персонала</v>
      </c>
      <c r="N34" s="771" t="str">
        <f t="shared" si="6"/>
        <v/>
      </c>
      <c r="O34" s="881" t="s">
        <v>2222</v>
      </c>
      <c r="P34" s="881" t="s">
        <v>2204</v>
      </c>
      <c r="Q34" s="881" t="s">
        <v>2222</v>
      </c>
      <c r="R34" s="881" t="s">
        <v>2204</v>
      </c>
      <c r="S34" s="881"/>
      <c r="T34" s="890" t="s">
        <v>2223</v>
      </c>
      <c r="U34" s="773" t="s">
        <v>2223</v>
      </c>
      <c r="V34" s="773" t="s">
        <v>2223</v>
      </c>
      <c r="W34" s="773" t="s">
        <v>2224</v>
      </c>
      <c r="X34" s="770"/>
      <c r="Y34" s="923"/>
      <c r="Z34" s="773"/>
      <c r="AA34" s="776"/>
      <c r="AB34" s="773"/>
      <c r="AC34" s="773"/>
      <c r="AD34" s="773"/>
    </row>
    <row r="35" spans="1:30" ht="45" customHeight="1">
      <c r="A35" s="772"/>
      <c r="B35" s="824">
        <v>18</v>
      </c>
      <c r="C35" s="770" t="s">
        <v>2225</v>
      </c>
      <c r="D35" s="891"/>
      <c r="E35" s="770"/>
      <c r="F35" s="770"/>
      <c r="G35" s="816"/>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1" t="s">
        <v>2226</v>
      </c>
      <c r="P35" s="881" t="s">
        <v>2206</v>
      </c>
      <c r="Q35" s="881" t="s">
        <v>2226</v>
      </c>
      <c r="R35" s="881" t="s">
        <v>2206</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2227</v>
      </c>
      <c r="V35" s="773" t="s">
        <v>2227</v>
      </c>
      <c r="W35" s="773" t="s">
        <v>2227</v>
      </c>
      <c r="X35" s="770"/>
      <c r="Y35" s="923"/>
      <c r="Z35" s="773"/>
      <c r="AA35" s="776"/>
      <c r="AB35" s="773"/>
      <c r="AC35" s="773"/>
      <c r="AD35" s="773"/>
    </row>
    <row r="36" spans="1:30" ht="18" customHeight="1">
      <c r="A36" s="772"/>
      <c r="B36" s="824">
        <v>19</v>
      </c>
      <c r="C36" s="770">
        <v>11</v>
      </c>
      <c r="D36" s="891"/>
      <c r="E36" s="770"/>
      <c r="F36" s="770"/>
      <c r="G36" s="816"/>
      <c r="H36" s="882"/>
      <c r="I36" s="927" t="str">
        <f t="shared" si="1"/>
        <v>2.8</v>
      </c>
      <c r="J36" s="927" t="str">
        <f t="shared" si="2"/>
        <v>Расходы на амортизацию основных средств и нематериальных активов</v>
      </c>
      <c r="K36" s="927">
        <f t="shared" si="3"/>
        <v>0</v>
      </c>
      <c r="L36" s="771" t="str">
        <f t="shared" si="4"/>
        <v>2.8</v>
      </c>
      <c r="M36" s="771" t="str">
        <f t="shared" si="5"/>
        <v>Расходы на амортизацию основных средств и нематериальных активов</v>
      </c>
      <c r="N36" s="771" t="str">
        <f t="shared" si="6"/>
        <v/>
      </c>
      <c r="O36" s="881" t="s">
        <v>828</v>
      </c>
      <c r="P36" s="881" t="s">
        <v>824</v>
      </c>
      <c r="Q36" s="881" t="s">
        <v>828</v>
      </c>
      <c r="R36" s="881" t="s">
        <v>824</v>
      </c>
      <c r="S36" s="881"/>
      <c r="T36" s="888" t="s">
        <v>2228</v>
      </c>
      <c r="U36" s="773" t="s">
        <v>2228</v>
      </c>
      <c r="V36" s="773" t="s">
        <v>2228</v>
      </c>
      <c r="W36" s="773" t="s">
        <v>2228</v>
      </c>
      <c r="X36" s="770"/>
      <c r="Y36" s="923"/>
      <c r="Z36" s="773"/>
      <c r="AA36" s="776"/>
      <c r="AB36" s="773"/>
      <c r="AC36" s="773"/>
      <c r="AD36" s="773"/>
    </row>
    <row r="37" spans="1:30" ht="18" customHeight="1">
      <c r="A37" s="772"/>
      <c r="B37" s="824">
        <v>20</v>
      </c>
      <c r="C37" s="770" t="s">
        <v>2229</v>
      </c>
      <c r="D37" s="891"/>
      <c r="E37" s="770"/>
      <c r="F37" s="770"/>
      <c r="G37" s="816"/>
      <c r="H37" s="882"/>
      <c r="I37" s="927" t="str">
        <f t="shared" si="1"/>
        <v>2.8.1</v>
      </c>
      <c r="J37" s="927" t="str">
        <f t="shared" si="2"/>
        <v>Расходы на амортизацию основных средств</v>
      </c>
      <c r="K37" s="927">
        <f t="shared" si="3"/>
        <v>0</v>
      </c>
      <c r="L37" s="771" t="str">
        <f t="shared" si="4"/>
        <v>2.8.1</v>
      </c>
      <c r="M37" s="771" t="str">
        <f t="shared" si="5"/>
        <v>Расходы на амортизацию основных средств</v>
      </c>
      <c r="N37" s="771" t="str">
        <f t="shared" si="6"/>
        <v/>
      </c>
      <c r="O37" s="881" t="s">
        <v>2230</v>
      </c>
      <c r="P37" s="881" t="s">
        <v>2213</v>
      </c>
      <c r="Q37" s="881" t="s">
        <v>2230</v>
      </c>
      <c r="R37" s="881" t="s">
        <v>2213</v>
      </c>
      <c r="S37" s="881"/>
      <c r="T37" s="888" t="s">
        <v>2231</v>
      </c>
      <c r="U37" s="773" t="s">
        <v>2231</v>
      </c>
      <c r="V37" s="773" t="s">
        <v>2231</v>
      </c>
      <c r="W37" s="773" t="s">
        <v>2231</v>
      </c>
      <c r="X37" s="770"/>
      <c r="Y37" s="923"/>
      <c r="Z37" s="773"/>
      <c r="AA37" s="776"/>
      <c r="AB37" s="773"/>
      <c r="AC37" s="773"/>
      <c r="AD37" s="773"/>
    </row>
    <row r="38" spans="1:30" ht="18" customHeight="1">
      <c r="A38" s="772"/>
      <c r="B38" s="824">
        <v>21</v>
      </c>
      <c r="C38" s="770" t="s">
        <v>2232</v>
      </c>
      <c r="D38" s="891"/>
      <c r="E38" s="770"/>
      <c r="F38" s="770"/>
      <c r="G38" s="816"/>
      <c r="H38" s="882"/>
      <c r="I38" s="927" t="str">
        <f t="shared" si="1"/>
        <v>2.8.2</v>
      </c>
      <c r="J38" s="927" t="str">
        <f t="shared" si="2"/>
        <v>Расходы на амортизацию нематериальных активов</v>
      </c>
      <c r="K38" s="927">
        <f t="shared" si="3"/>
        <v>0</v>
      </c>
      <c r="L38" s="771" t="str">
        <f t="shared" si="4"/>
        <v>2.8.2</v>
      </c>
      <c r="M38" s="771" t="str">
        <f t="shared" si="5"/>
        <v>Расходы на амортизацию нематериальных активов</v>
      </c>
      <c r="N38" s="771" t="str">
        <f t="shared" si="6"/>
        <v/>
      </c>
      <c r="O38" s="881" t="s">
        <v>2233</v>
      </c>
      <c r="P38" s="881" t="s">
        <v>2216</v>
      </c>
      <c r="Q38" s="881" t="s">
        <v>2233</v>
      </c>
      <c r="R38" s="881" t="s">
        <v>2216</v>
      </c>
      <c r="S38" s="881"/>
      <c r="T38" s="888" t="s">
        <v>2234</v>
      </c>
      <c r="U38" s="773" t="s">
        <v>2234</v>
      </c>
      <c r="V38" s="773" t="s">
        <v>2234</v>
      </c>
      <c r="W38" s="773" t="s">
        <v>2234</v>
      </c>
      <c r="X38" s="770"/>
      <c r="Y38" s="923"/>
      <c r="Z38" s="773"/>
      <c r="AA38" s="776"/>
      <c r="AB38" s="773"/>
      <c r="AC38" s="773"/>
      <c r="AD38" s="773"/>
    </row>
    <row r="39" spans="1:30" ht="36" customHeight="1">
      <c r="A39" s="772"/>
      <c r="B39" s="824">
        <v>22</v>
      </c>
      <c r="C39" s="770">
        <v>12</v>
      </c>
      <c r="D39" s="891"/>
      <c r="E39" s="770"/>
      <c r="F39" s="770"/>
      <c r="G39" s="816"/>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1" t="s">
        <v>832</v>
      </c>
      <c r="P39" s="881" t="s">
        <v>826</v>
      </c>
      <c r="Q39" s="881" t="s">
        <v>832</v>
      </c>
      <c r="R39" s="881" t="s">
        <v>826</v>
      </c>
      <c r="S39" s="881"/>
      <c r="T39" s="888" t="s">
        <v>2235</v>
      </c>
      <c r="U39" s="773" t="s">
        <v>2236</v>
      </c>
      <c r="V39" s="773" t="s">
        <v>2237</v>
      </c>
      <c r="W39" s="773" t="s">
        <v>2238</v>
      </c>
      <c r="X39" s="770"/>
      <c r="Y39" s="923"/>
      <c r="Z39" s="773"/>
      <c r="AA39" s="776"/>
      <c r="AB39" s="773"/>
      <c r="AC39" s="773"/>
      <c r="AD39" s="773"/>
    </row>
    <row r="40" spans="1:30" ht="18" customHeight="1">
      <c r="A40" s="772"/>
      <c r="B40" s="824">
        <v>23</v>
      </c>
      <c r="C40" s="770">
        <v>13</v>
      </c>
      <c r="D40" s="891"/>
      <c r="E40" s="770"/>
      <c r="F40" s="770"/>
      <c r="G40" s="770"/>
      <c r="H40" s="819"/>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1" t="s">
        <v>884</v>
      </c>
      <c r="P40" s="881" t="s">
        <v>828</v>
      </c>
      <c r="Q40" s="881" t="s">
        <v>884</v>
      </c>
      <c r="R40" s="881" t="s">
        <v>828</v>
      </c>
      <c r="S40" s="881"/>
      <c r="T40" s="770" t="s">
        <v>2239</v>
      </c>
      <c r="U40" s="770" t="s">
        <v>2239</v>
      </c>
      <c r="V40" s="770" t="s">
        <v>2239</v>
      </c>
      <c r="W40" s="770" t="s">
        <v>2239</v>
      </c>
      <c r="X40" s="770"/>
      <c r="Y40" s="923"/>
      <c r="Z40" s="773" t="s">
        <v>2240</v>
      </c>
      <c r="AA40" s="776" t="s">
        <v>2240</v>
      </c>
      <c r="AB40" s="776" t="s">
        <v>2240</v>
      </c>
      <c r="AC40" s="776" t="s">
        <v>2240</v>
      </c>
      <c r="AD40" s="773"/>
    </row>
    <row r="41" spans="1:30" ht="27" customHeight="1">
      <c r="A41" s="772"/>
      <c r="B41" s="824">
        <v>24</v>
      </c>
      <c r="C41" s="770" t="s">
        <v>2241</v>
      </c>
      <c r="D41" s="891"/>
      <c r="E41" s="770"/>
      <c r="F41" s="770"/>
      <c r="G41" s="770"/>
      <c r="H41" s="816"/>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1" t="s">
        <v>2242</v>
      </c>
      <c r="P41" s="881" t="s">
        <v>2230</v>
      </c>
      <c r="Q41" s="881" t="s">
        <v>2242</v>
      </c>
      <c r="R41" s="881" t="s">
        <v>2230</v>
      </c>
      <c r="S41" s="881"/>
      <c r="T41" s="770" t="s">
        <v>2243</v>
      </c>
      <c r="U41" s="770" t="s">
        <v>2243</v>
      </c>
      <c r="V41" s="770" t="s">
        <v>2243</v>
      </c>
      <c r="W41" s="770" t="s">
        <v>2243</v>
      </c>
      <c r="X41" s="770"/>
      <c r="Y41" s="923"/>
      <c r="Z41" s="773" t="s">
        <v>2244</v>
      </c>
      <c r="AA41" s="773" t="s">
        <v>2244</v>
      </c>
      <c r="AB41" s="773" t="s">
        <v>2244</v>
      </c>
      <c r="AC41" s="773" t="s">
        <v>2244</v>
      </c>
      <c r="AD41" s="773"/>
    </row>
    <row r="42" spans="1:30" ht="27" customHeight="1">
      <c r="A42" s="772"/>
      <c r="B42" s="824">
        <v>25</v>
      </c>
      <c r="C42" s="770" t="s">
        <v>2245</v>
      </c>
      <c r="D42" s="891"/>
      <c r="E42" s="770"/>
      <c r="F42" s="770"/>
      <c r="G42" s="770"/>
      <c r="H42" s="816"/>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1" t="s">
        <v>2246</v>
      </c>
      <c r="P42" s="881" t="s">
        <v>2233</v>
      </c>
      <c r="Q42" s="881" t="s">
        <v>2246</v>
      </c>
      <c r="R42" s="881" t="s">
        <v>2233</v>
      </c>
      <c r="S42" s="881"/>
      <c r="T42" s="770" t="s">
        <v>2247</v>
      </c>
      <c r="U42" s="770" t="s">
        <v>2247</v>
      </c>
      <c r="V42" s="770" t="s">
        <v>2247</v>
      </c>
      <c r="W42" s="770" t="s">
        <v>2247</v>
      </c>
      <c r="X42" s="770"/>
      <c r="Y42" s="923"/>
      <c r="Z42" s="773" t="s">
        <v>2248</v>
      </c>
      <c r="AA42" s="773" t="s">
        <v>2248</v>
      </c>
      <c r="AB42" s="773" t="s">
        <v>2248</v>
      </c>
      <c r="AC42" s="773" t="s">
        <v>2248</v>
      </c>
      <c r="AD42" s="773"/>
    </row>
    <row r="43" spans="1:30" ht="18" customHeight="1">
      <c r="A43" s="772"/>
      <c r="B43" s="824">
        <v>26</v>
      </c>
      <c r="C43" s="770">
        <v>14</v>
      </c>
      <c r="D43" s="891"/>
      <c r="E43" s="770"/>
      <c r="F43" s="770"/>
      <c r="G43" s="770"/>
      <c r="H43" s="816"/>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1" t="s">
        <v>2249</v>
      </c>
      <c r="P43" s="881" t="s">
        <v>832</v>
      </c>
      <c r="Q43" s="881" t="s">
        <v>2249</v>
      </c>
      <c r="R43" s="881" t="s">
        <v>832</v>
      </c>
      <c r="S43" s="881"/>
      <c r="T43" s="770" t="s">
        <v>2250</v>
      </c>
      <c r="U43" s="770" t="s">
        <v>2250</v>
      </c>
      <c r="V43" s="770" t="s">
        <v>2250</v>
      </c>
      <c r="W43" s="770" t="s">
        <v>2250</v>
      </c>
      <c r="X43" s="770"/>
      <c r="Y43" s="923"/>
      <c r="Z43" s="773" t="s">
        <v>2251</v>
      </c>
      <c r="AA43" s="773" t="s">
        <v>2251</v>
      </c>
      <c r="AB43" s="773" t="s">
        <v>2251</v>
      </c>
      <c r="AC43" s="773" t="s">
        <v>2251</v>
      </c>
      <c r="AD43" s="773"/>
    </row>
    <row r="44" spans="1:30" ht="27" customHeight="1">
      <c r="A44" s="772"/>
      <c r="B44" s="824">
        <v>27</v>
      </c>
      <c r="C44" s="770" t="s">
        <v>2252</v>
      </c>
      <c r="D44" s="891"/>
      <c r="E44" s="770"/>
      <c r="F44" s="770"/>
      <c r="G44" s="770"/>
      <c r="H44" s="816"/>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1" t="s">
        <v>2253</v>
      </c>
      <c r="P44" s="881" t="s">
        <v>835</v>
      </c>
      <c r="Q44" s="881" t="s">
        <v>2253</v>
      </c>
      <c r="R44" s="881" t="s">
        <v>835</v>
      </c>
      <c r="S44" s="881"/>
      <c r="T44" s="770" t="s">
        <v>2243</v>
      </c>
      <c r="U44" s="770" t="s">
        <v>2243</v>
      </c>
      <c r="V44" s="770" t="s">
        <v>2243</v>
      </c>
      <c r="W44" s="770" t="s">
        <v>2243</v>
      </c>
      <c r="X44" s="770"/>
      <c r="Y44" s="923"/>
      <c r="Z44" s="773" t="s">
        <v>2254</v>
      </c>
      <c r="AA44" s="773" t="s">
        <v>2254</v>
      </c>
      <c r="AB44" s="773" t="s">
        <v>2254</v>
      </c>
      <c r="AC44" s="773" t="s">
        <v>2254</v>
      </c>
      <c r="AD44" s="773"/>
    </row>
    <row r="45" spans="1:30" ht="27" customHeight="1">
      <c r="A45" s="772"/>
      <c r="B45" s="824">
        <v>28</v>
      </c>
      <c r="C45" s="770" t="s">
        <v>2255</v>
      </c>
      <c r="D45" s="891"/>
      <c r="E45" s="770"/>
      <c r="F45" s="770"/>
      <c r="G45" s="770"/>
      <c r="H45" s="816"/>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1" t="s">
        <v>2256</v>
      </c>
      <c r="P45" s="881" t="s">
        <v>838</v>
      </c>
      <c r="Q45" s="881" t="s">
        <v>2256</v>
      </c>
      <c r="R45" s="881" t="s">
        <v>838</v>
      </c>
      <c r="S45" s="881"/>
      <c r="T45" s="770" t="s">
        <v>2247</v>
      </c>
      <c r="U45" s="770" t="s">
        <v>2247</v>
      </c>
      <c r="V45" s="770" t="s">
        <v>2247</v>
      </c>
      <c r="W45" s="770" t="s">
        <v>2247</v>
      </c>
      <c r="X45" s="770"/>
      <c r="Y45" s="923"/>
      <c r="Z45" s="773" t="s">
        <v>2257</v>
      </c>
      <c r="AA45" s="773" t="s">
        <v>2257</v>
      </c>
      <c r="AB45" s="773" t="s">
        <v>2257</v>
      </c>
      <c r="AC45" s="773" t="s">
        <v>2257</v>
      </c>
      <c r="AD45" s="773"/>
    </row>
    <row r="46" spans="1:30" ht="54" customHeight="1">
      <c r="A46" s="772"/>
      <c r="B46" s="824">
        <v>29</v>
      </c>
      <c r="C46" s="770">
        <v>15</v>
      </c>
      <c r="D46" s="891"/>
      <c r="E46" s="770"/>
      <c r="F46" s="770"/>
      <c r="G46" s="770"/>
      <c r="H46" s="816"/>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2258</v>
      </c>
      <c r="P46" s="881" t="s">
        <v>884</v>
      </c>
      <c r="Q46" s="881" t="s">
        <v>2258</v>
      </c>
      <c r="R46" s="881" t="s">
        <v>884</v>
      </c>
      <c r="S46" s="881"/>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2259</v>
      </c>
      <c r="V46" s="770" t="s">
        <v>2259</v>
      </c>
      <c r="W46" s="770" t="s">
        <v>2259</v>
      </c>
      <c r="X46" s="770"/>
      <c r="Y46" s="923"/>
      <c r="Z46" s="773" t="s">
        <v>2260</v>
      </c>
      <c r="AA46" s="773" t="s">
        <v>2261</v>
      </c>
      <c r="AB46" s="773" t="s">
        <v>2261</v>
      </c>
      <c r="AC46" s="773" t="s">
        <v>2261</v>
      </c>
      <c r="AD46" s="773"/>
    </row>
    <row r="47" spans="1:30" ht="54" customHeight="1">
      <c r="A47" s="772"/>
      <c r="B47" s="824">
        <v>30</v>
      </c>
      <c r="C47" s="770" t="s">
        <v>2262</v>
      </c>
      <c r="D47" s="891"/>
      <c r="E47" s="770"/>
      <c r="F47" s="770"/>
      <c r="G47" s="770"/>
      <c r="H47" s="816"/>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1" t="s">
        <v>2263</v>
      </c>
      <c r="P47" s="881" t="s">
        <v>2242</v>
      </c>
      <c r="Q47" s="881" t="s">
        <v>2263</v>
      </c>
      <c r="R47" s="881" t="s">
        <v>2242</v>
      </c>
      <c r="S47" s="881"/>
      <c r="T47" s="770" t="s">
        <v>2264</v>
      </c>
      <c r="U47" s="770" t="s">
        <v>2264</v>
      </c>
      <c r="V47" s="770" t="s">
        <v>2264</v>
      </c>
      <c r="W47" s="770" t="s">
        <v>2264</v>
      </c>
      <c r="X47" s="770"/>
      <c r="Y47" s="923"/>
      <c r="Z47" s="773"/>
      <c r="AA47" s="776"/>
      <c r="AB47" s="776"/>
      <c r="AC47" s="776"/>
      <c r="AD47" s="773"/>
    </row>
    <row r="48" spans="1:30" ht="54" customHeight="1">
      <c r="A48" s="772"/>
      <c r="B48" s="824">
        <v>31</v>
      </c>
      <c r="C48" s="770">
        <v>16</v>
      </c>
      <c r="D48" s="891"/>
      <c r="E48" s="770"/>
      <c r="F48" s="770"/>
      <c r="G48" s="770"/>
      <c r="H48" s="816"/>
      <c r="I48" s="927">
        <f t="shared" si="1"/>
        <v>0</v>
      </c>
      <c r="J48" s="927">
        <f t="shared" si="2"/>
        <v>0</v>
      </c>
      <c r="K48" s="927">
        <f t="shared" si="3"/>
        <v>0</v>
      </c>
      <c r="L48" s="771" t="str">
        <f t="shared" si="4"/>
        <v/>
      </c>
      <c r="M48" s="771" t="str">
        <f t="shared" si="5"/>
        <v/>
      </c>
      <c r="N48" s="771" t="str">
        <f t="shared" si="6"/>
        <v/>
      </c>
      <c r="O48" s="881"/>
      <c r="P48" s="881" t="s">
        <v>2249</v>
      </c>
      <c r="Q48" s="881" t="s">
        <v>2265</v>
      </c>
      <c r="R48" s="881" t="s">
        <v>2249</v>
      </c>
      <c r="S48" s="881"/>
      <c r="T48" s="770"/>
      <c r="U48" s="770" t="s">
        <v>2266</v>
      </c>
      <c r="V48" s="770" t="s">
        <v>2267</v>
      </c>
      <c r="W48" s="770" t="s">
        <v>2267</v>
      </c>
      <c r="X48" s="770"/>
      <c r="Y48" s="923"/>
      <c r="Z48" s="773"/>
      <c r="AA48" s="776" t="s">
        <v>2261</v>
      </c>
      <c r="AB48" s="776" t="s">
        <v>2261</v>
      </c>
      <c r="AC48" s="776" t="s">
        <v>2261</v>
      </c>
      <c r="AD48" s="773"/>
    </row>
    <row r="49" spans="1:30" ht="54" customHeight="1">
      <c r="A49" s="772"/>
      <c r="B49" s="824">
        <v>32</v>
      </c>
      <c r="C49" s="770" t="s">
        <v>2268</v>
      </c>
      <c r="D49" s="891"/>
      <c r="E49" s="770"/>
      <c r="F49" s="770"/>
      <c r="G49" s="770"/>
      <c r="H49" s="816"/>
      <c r="I49" s="927">
        <f t="shared" si="1"/>
        <v>0</v>
      </c>
      <c r="J49" s="927">
        <f t="shared" si="2"/>
        <v>0</v>
      </c>
      <c r="K49" s="927">
        <f t="shared" si="3"/>
        <v>0</v>
      </c>
      <c r="L49" s="771" t="str">
        <f t="shared" si="4"/>
        <v/>
      </c>
      <c r="M49" s="771" t="str">
        <f t="shared" si="5"/>
        <v/>
      </c>
      <c r="N49" s="771" t="str">
        <f t="shared" si="6"/>
        <v/>
      </c>
      <c r="O49" s="881"/>
      <c r="P49" s="881" t="s">
        <v>2253</v>
      </c>
      <c r="Q49" s="881" t="s">
        <v>2269</v>
      </c>
      <c r="R49" s="881" t="s">
        <v>2253</v>
      </c>
      <c r="S49" s="881"/>
      <c r="T49" s="770"/>
      <c r="U49" s="770" t="s">
        <v>2264</v>
      </c>
      <c r="V49" s="770" t="s">
        <v>2264</v>
      </c>
      <c r="W49" s="770" t="s">
        <v>2264</v>
      </c>
      <c r="X49" s="770"/>
      <c r="Y49" s="923"/>
      <c r="Z49" s="773"/>
      <c r="AA49" s="776"/>
      <c r="AB49" s="776"/>
      <c r="AC49" s="776"/>
      <c r="AD49" s="773"/>
    </row>
    <row r="50" spans="1:30" ht="126" customHeight="1">
      <c r="A50" s="772"/>
      <c r="B50" s="824">
        <v>33</v>
      </c>
      <c r="C50" s="770">
        <v>17</v>
      </c>
      <c r="D50" s="891"/>
      <c r="E50" s="770"/>
      <c r="F50" s="770"/>
      <c r="G50" s="770"/>
      <c r="H50" s="816"/>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2265</v>
      </c>
      <c r="P50" s="881" t="s">
        <v>2258</v>
      </c>
      <c r="Q50" s="881" t="s">
        <v>2270</v>
      </c>
      <c r="R50" s="881" t="s">
        <v>2258</v>
      </c>
      <c r="S50" s="881"/>
      <c r="T50" s="770" t="s">
        <v>2271</v>
      </c>
      <c r="U50" s="770" t="s">
        <v>2272</v>
      </c>
      <c r="V50" s="770" t="s">
        <v>2273</v>
      </c>
      <c r="W50" s="770" t="s">
        <v>2274</v>
      </c>
      <c r="X50" s="770"/>
      <c r="Y50" s="923"/>
      <c r="Z50" s="773" t="s">
        <v>2275</v>
      </c>
      <c r="AA50" s="776" t="s">
        <v>2276</v>
      </c>
      <c r="AB50" s="776" t="s">
        <v>2276</v>
      </c>
      <c r="AC50" s="776" t="s">
        <v>2276</v>
      </c>
      <c r="AD50" s="773"/>
    </row>
    <row r="51" spans="1:30" ht="27" customHeight="1">
      <c r="A51" s="772"/>
      <c r="B51" s="824">
        <v>34</v>
      </c>
      <c r="C51" s="770" t="s">
        <v>2277</v>
      </c>
      <c r="D51" s="891"/>
      <c r="E51" s="770"/>
      <c r="F51" s="770"/>
      <c r="G51" s="770"/>
      <c r="H51" s="816"/>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1" t="s">
        <v>90</v>
      </c>
      <c r="P51" s="881"/>
      <c r="Q51" s="881"/>
      <c r="R51" s="881"/>
      <c r="S51" s="881"/>
      <c r="T51" s="770" t="s">
        <v>2278</v>
      </c>
      <c r="U51" s="770"/>
      <c r="V51" s="770"/>
      <c r="W51" s="770"/>
      <c r="X51" s="770"/>
      <c r="Y51" s="923"/>
      <c r="Z51" s="773"/>
      <c r="AA51" s="776"/>
      <c r="AB51" s="776"/>
      <c r="AC51" s="776"/>
      <c r="AD51" s="773"/>
    </row>
    <row r="52" spans="1:30" ht="36" customHeight="1">
      <c r="A52" s="772"/>
      <c r="B52" s="824">
        <v>35</v>
      </c>
      <c r="C52" s="770" t="s">
        <v>2174</v>
      </c>
      <c r="D52" s="891" t="s">
        <v>2174</v>
      </c>
      <c r="E52" s="770" t="s">
        <v>2174</v>
      </c>
      <c r="F52" s="770" t="s">
        <v>2174</v>
      </c>
      <c r="G52" s="770"/>
      <c r="H52" s="816"/>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70" t="s">
        <v>2279</v>
      </c>
      <c r="U52" s="770" t="s">
        <v>2280</v>
      </c>
      <c r="V52" s="770" t="s">
        <v>2281</v>
      </c>
      <c r="W52" s="770" t="s">
        <v>2282</v>
      </c>
      <c r="X52" s="770"/>
      <c r="Y52" s="923"/>
      <c r="Z52" s="773" t="s">
        <v>842</v>
      </c>
      <c r="AA52" s="776" t="s">
        <v>842</v>
      </c>
      <c r="AB52" s="776" t="s">
        <v>842</v>
      </c>
      <c r="AC52" s="776" t="s">
        <v>842</v>
      </c>
      <c r="AD52" s="773"/>
    </row>
    <row r="53" spans="1:30" ht="36" customHeight="1">
      <c r="A53" s="772"/>
      <c r="B53" s="824">
        <v>36</v>
      </c>
      <c r="C53" s="770">
        <v>1</v>
      </c>
      <c r="D53" s="891"/>
      <c r="E53" s="770"/>
      <c r="F53" s="770"/>
      <c r="G53" s="770"/>
      <c r="H53" s="816"/>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1" t="s">
        <v>846</v>
      </c>
      <c r="P53" s="881" t="s">
        <v>323</v>
      </c>
      <c r="Q53" s="881" t="s">
        <v>323</v>
      </c>
      <c r="R53" s="881" t="s">
        <v>323</v>
      </c>
      <c r="S53" s="881"/>
      <c r="T53" s="770" t="s">
        <v>2283</v>
      </c>
      <c r="U53" s="770" t="s">
        <v>2283</v>
      </c>
      <c r="V53" s="770" t="s">
        <v>2283</v>
      </c>
      <c r="W53" s="770" t="s">
        <v>2283</v>
      </c>
      <c r="X53" s="770"/>
      <c r="Y53" s="923"/>
      <c r="Z53" s="773"/>
      <c r="AA53" s="776"/>
      <c r="AB53" s="773"/>
      <c r="AC53" s="773"/>
      <c r="AD53" s="773"/>
    </row>
    <row r="54" spans="1:30" ht="18" customHeight="1">
      <c r="A54" s="772"/>
      <c r="B54" s="824">
        <v>37</v>
      </c>
      <c r="C54" s="770" t="s">
        <v>2180</v>
      </c>
      <c r="D54" s="891" t="s">
        <v>2180</v>
      </c>
      <c r="E54" s="770" t="s">
        <v>2180</v>
      </c>
      <c r="F54" s="770" t="s">
        <v>2180</v>
      </c>
      <c r="G54" s="770"/>
      <c r="H54" s="816"/>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1" t="s">
        <v>111</v>
      </c>
      <c r="P54" s="881" t="s">
        <v>91</v>
      </c>
      <c r="Q54" s="881" t="s">
        <v>91</v>
      </c>
      <c r="R54" s="881" t="s">
        <v>91</v>
      </c>
      <c r="S54" s="881"/>
      <c r="T54" s="770" t="s">
        <v>844</v>
      </c>
      <c r="U54" s="770" t="s">
        <v>844</v>
      </c>
      <c r="V54" s="770" t="s">
        <v>844</v>
      </c>
      <c r="W54" s="770" t="s">
        <v>844</v>
      </c>
      <c r="X54" s="770"/>
      <c r="Y54" s="923"/>
      <c r="Z54" s="773" t="s">
        <v>845</v>
      </c>
      <c r="AA54" s="773" t="s">
        <v>845</v>
      </c>
      <c r="AB54" s="773" t="s">
        <v>845</v>
      </c>
      <c r="AC54" s="773" t="s">
        <v>845</v>
      </c>
      <c r="AD54" s="773"/>
    </row>
    <row r="55" spans="1:30" ht="36" customHeight="1">
      <c r="A55" s="772"/>
      <c r="B55" s="824">
        <v>38</v>
      </c>
      <c r="C55" s="770">
        <v>1</v>
      </c>
      <c r="D55" s="891"/>
      <c r="E55" s="770"/>
      <c r="F55" s="770"/>
      <c r="G55" s="770"/>
      <c r="H55" s="816"/>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1" t="s">
        <v>312</v>
      </c>
      <c r="P55" s="881" t="s">
        <v>846</v>
      </c>
      <c r="Q55" s="881" t="s">
        <v>846</v>
      </c>
      <c r="R55" s="881" t="s">
        <v>846</v>
      </c>
      <c r="S55" s="881"/>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2284</v>
      </c>
      <c r="V55" s="770" t="s">
        <v>2284</v>
      </c>
      <c r="W55" s="770" t="s">
        <v>2284</v>
      </c>
      <c r="X55" s="770"/>
      <c r="Y55" s="923"/>
      <c r="Z55" s="773" t="s">
        <v>2285</v>
      </c>
      <c r="AA55" s="773" t="s">
        <v>2285</v>
      </c>
      <c r="AB55" s="773" t="s">
        <v>2285</v>
      </c>
      <c r="AC55" s="773" t="s">
        <v>2285</v>
      </c>
      <c r="AD55" s="773"/>
    </row>
    <row r="56" spans="1:30" ht="27" customHeight="1">
      <c r="A56" s="772"/>
      <c r="B56" s="824">
        <v>39</v>
      </c>
      <c r="C56" s="770" t="s">
        <v>1179</v>
      </c>
      <c r="D56" s="891"/>
      <c r="E56" s="770"/>
      <c r="F56" s="770"/>
      <c r="G56" s="770"/>
      <c r="H56" s="816"/>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1" t="s">
        <v>1300</v>
      </c>
      <c r="P56" s="881" t="s">
        <v>849</v>
      </c>
      <c r="Q56" s="881" t="s">
        <v>849</v>
      </c>
      <c r="R56" s="881" t="s">
        <v>849</v>
      </c>
      <c r="S56" s="881"/>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2286</v>
      </c>
      <c r="V56" s="770" t="s">
        <v>2286</v>
      </c>
      <c r="W56" s="770" t="s">
        <v>2286</v>
      </c>
      <c r="X56" s="770"/>
      <c r="Y56" s="923"/>
      <c r="Z56" s="773" t="s">
        <v>851</v>
      </c>
      <c r="AA56" s="773" t="s">
        <v>851</v>
      </c>
      <c r="AB56" s="773" t="s">
        <v>851</v>
      </c>
      <c r="AC56" s="773" t="s">
        <v>851</v>
      </c>
      <c r="AD56" s="773"/>
    </row>
    <row r="57" spans="1:30" ht="27" customHeight="1">
      <c r="A57" s="772"/>
      <c r="B57" s="824">
        <v>40</v>
      </c>
      <c r="C57" s="770" t="s">
        <v>1181</v>
      </c>
      <c r="D57" s="891"/>
      <c r="E57" s="770"/>
      <c r="F57" s="770"/>
      <c r="G57" s="770"/>
      <c r="H57" s="816"/>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1" t="s">
        <v>2287</v>
      </c>
      <c r="P57" s="881" t="s">
        <v>852</v>
      </c>
      <c r="Q57" s="881" t="s">
        <v>852</v>
      </c>
      <c r="R57" s="881" t="s">
        <v>852</v>
      </c>
      <c r="S57" s="881"/>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2288</v>
      </c>
      <c r="V57" s="770" t="s">
        <v>2288</v>
      </c>
      <c r="W57" s="770" t="s">
        <v>2288</v>
      </c>
      <c r="X57" s="770"/>
      <c r="Y57" s="923"/>
      <c r="Z57" s="773" t="s">
        <v>854</v>
      </c>
      <c r="AA57" s="773" t="s">
        <v>854</v>
      </c>
      <c r="AB57" s="773" t="s">
        <v>854</v>
      </c>
      <c r="AC57" s="773" t="s">
        <v>854</v>
      </c>
      <c r="AD57" s="773"/>
    </row>
    <row r="58" spans="1:30" ht="18" customHeight="1">
      <c r="A58" s="772"/>
      <c r="B58" s="824">
        <v>41</v>
      </c>
      <c r="C58" s="770">
        <v>2</v>
      </c>
      <c r="D58" s="891"/>
      <c r="E58" s="770"/>
      <c r="F58" s="770"/>
      <c r="G58" s="770"/>
      <c r="H58" s="816"/>
      <c r="I58" s="927" t="str">
        <f t="shared" si="7"/>
        <v>5.2</v>
      </c>
      <c r="J58" s="927" t="str">
        <f t="shared" si="8"/>
        <v>Изменение стоимости основных фондов за счет их переоценки</v>
      </c>
      <c r="K58" s="927">
        <f t="shared" si="9"/>
        <v>0</v>
      </c>
      <c r="L58" s="771" t="str">
        <f t="shared" si="10"/>
        <v>5.2</v>
      </c>
      <c r="M58" s="771" t="str">
        <f t="shared" si="11"/>
        <v>Изменение стоимости основных фондов за счет их переоценки</v>
      </c>
      <c r="N58" s="771" t="str">
        <f t="shared" si="12"/>
        <v/>
      </c>
      <c r="O58" s="881" t="s">
        <v>989</v>
      </c>
      <c r="P58" s="881" t="s">
        <v>890</v>
      </c>
      <c r="Q58" s="881" t="s">
        <v>890</v>
      </c>
      <c r="R58" s="881" t="s">
        <v>890</v>
      </c>
      <c r="S58" s="881"/>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2289</v>
      </c>
      <c r="V58" s="770" t="s">
        <v>2289</v>
      </c>
      <c r="W58" s="770" t="s">
        <v>2289</v>
      </c>
      <c r="X58" s="770"/>
      <c r="Y58" s="923"/>
      <c r="Z58" s="773"/>
      <c r="AA58" s="776"/>
      <c r="AB58" s="773"/>
      <c r="AC58" s="773"/>
      <c r="AD58" s="773"/>
    </row>
    <row r="59" spans="1:30" ht="36" customHeight="1">
      <c r="A59" s="772"/>
      <c r="B59" s="824">
        <v>42</v>
      </c>
      <c r="C59" s="770">
        <v>3</v>
      </c>
      <c r="D59" s="891" t="s">
        <v>2277</v>
      </c>
      <c r="E59" s="770" t="s">
        <v>2277</v>
      </c>
      <c r="F59" s="770" t="s">
        <v>2277</v>
      </c>
      <c r="G59" s="770"/>
      <c r="H59" s="816"/>
      <c r="I59" s="927">
        <f t="shared" si="7"/>
        <v>0</v>
      </c>
      <c r="J59" s="927">
        <f t="shared" si="8"/>
        <v>0</v>
      </c>
      <c r="K59" s="927">
        <f t="shared" si="9"/>
        <v>0</v>
      </c>
      <c r="L59" s="771" t="str">
        <f t="shared" si="10"/>
        <v/>
      </c>
      <c r="M59" s="771" t="str">
        <f t="shared" si="11"/>
        <v/>
      </c>
      <c r="N59" s="771" t="str">
        <f t="shared" si="12"/>
        <v/>
      </c>
      <c r="O59" s="881"/>
      <c r="P59" s="881" t="s">
        <v>111</v>
      </c>
      <c r="Q59" s="881" t="s">
        <v>111</v>
      </c>
      <c r="R59" s="881" t="s">
        <v>111</v>
      </c>
      <c r="S59" s="881"/>
      <c r="T59" s="770"/>
      <c r="U59" s="770" t="s">
        <v>2290</v>
      </c>
      <c r="V59" s="770" t="s">
        <v>2291</v>
      </c>
      <c r="W59" s="770" t="s">
        <v>2292</v>
      </c>
      <c r="X59" s="770"/>
      <c r="Y59" s="923"/>
      <c r="Z59" s="773"/>
      <c r="AA59" s="776"/>
      <c r="AB59" s="773"/>
      <c r="AC59" s="773"/>
      <c r="AD59" s="773"/>
    </row>
    <row r="60" spans="1:30" ht="81" customHeight="1">
      <c r="A60" s="772"/>
      <c r="B60" s="824">
        <v>43</v>
      </c>
      <c r="C60" s="770" t="s">
        <v>2293</v>
      </c>
      <c r="D60" s="891" t="s">
        <v>2293</v>
      </c>
      <c r="E60" s="770" t="s">
        <v>2293</v>
      </c>
      <c r="F60" s="770" t="s">
        <v>2293</v>
      </c>
      <c r="G60" s="770"/>
      <c r="H60" s="816"/>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70" t="s">
        <v>716</v>
      </c>
      <c r="U60" s="770" t="s">
        <v>716</v>
      </c>
      <c r="V60" s="770" t="s">
        <v>716</v>
      </c>
      <c r="W60" s="770" t="s">
        <v>716</v>
      </c>
      <c r="X60" s="770"/>
      <c r="Y60" s="923"/>
      <c r="Z60" s="773" t="s">
        <v>2294</v>
      </c>
      <c r="AA60" s="776" t="s">
        <v>2295</v>
      </c>
      <c r="AB60" s="773" t="s">
        <v>2296</v>
      </c>
      <c r="AC60" s="773" t="s">
        <v>2295</v>
      </c>
      <c r="AD60" s="773"/>
    </row>
    <row r="61" spans="1:30" ht="9" customHeight="1">
      <c r="A61" s="772"/>
      <c r="B61" s="824">
        <v>44</v>
      </c>
      <c r="C61" s="770"/>
      <c r="D61" s="891" t="s">
        <v>2297</v>
      </c>
      <c r="E61" s="770"/>
      <c r="F61" s="770"/>
      <c r="G61" s="770"/>
      <c r="H61" s="816"/>
      <c r="I61" s="927">
        <f t="shared" si="7"/>
        <v>0</v>
      </c>
      <c r="J61" s="927">
        <f t="shared" si="8"/>
        <v>0</v>
      </c>
      <c r="K61" s="927">
        <f t="shared" si="9"/>
        <v>0</v>
      </c>
      <c r="L61" s="771" t="str">
        <f t="shared" si="10"/>
        <v/>
      </c>
      <c r="M61" s="771" t="str">
        <f t="shared" si="11"/>
        <v/>
      </c>
      <c r="N61" s="771" t="str">
        <f t="shared" si="12"/>
        <v/>
      </c>
      <c r="O61" s="881"/>
      <c r="P61" s="881" t="s">
        <v>93</v>
      </c>
      <c r="Q61" s="881"/>
      <c r="R61" s="881"/>
      <c r="S61" s="881"/>
      <c r="T61" s="770"/>
      <c r="U61" s="770" t="s">
        <v>2298</v>
      </c>
      <c r="V61" s="770"/>
      <c r="W61" s="770"/>
      <c r="X61" s="770"/>
      <c r="Y61" s="923"/>
      <c r="Z61" s="773"/>
      <c r="AA61" s="776"/>
      <c r="AB61" s="773"/>
      <c r="AC61" s="773"/>
      <c r="AD61" s="773"/>
    </row>
    <row r="62" spans="1:30" ht="9" customHeight="1">
      <c r="A62" s="772"/>
      <c r="B62" s="824">
        <v>45</v>
      </c>
      <c r="C62" s="770"/>
      <c r="D62" s="891" t="s">
        <v>2299</v>
      </c>
      <c r="E62" s="770"/>
      <c r="F62" s="770"/>
      <c r="G62" s="770"/>
      <c r="H62" s="816"/>
      <c r="I62" s="927">
        <f t="shared" si="7"/>
        <v>0</v>
      </c>
      <c r="J62" s="927">
        <f t="shared" si="8"/>
        <v>0</v>
      </c>
      <c r="K62" s="927">
        <f t="shared" si="9"/>
        <v>0</v>
      </c>
      <c r="L62" s="771" t="str">
        <f t="shared" si="10"/>
        <v/>
      </c>
      <c r="M62" s="771" t="str">
        <f t="shared" si="11"/>
        <v/>
      </c>
      <c r="N62" s="771" t="str">
        <f t="shared" si="12"/>
        <v/>
      </c>
      <c r="O62" s="881"/>
      <c r="P62" s="881" t="s">
        <v>112</v>
      </c>
      <c r="Q62" s="881"/>
      <c r="R62" s="881"/>
      <c r="S62" s="881"/>
      <c r="T62" s="770"/>
      <c r="U62" s="770" t="s">
        <v>2300</v>
      </c>
      <c r="V62" s="770"/>
      <c r="W62" s="770"/>
      <c r="X62" s="770"/>
      <c r="Y62" s="923"/>
      <c r="Z62" s="773"/>
      <c r="AA62" s="776"/>
      <c r="AB62" s="773"/>
      <c r="AC62" s="773"/>
      <c r="AD62" s="773"/>
    </row>
    <row r="63" spans="1:30" ht="18" customHeight="1">
      <c r="A63" s="772"/>
      <c r="B63" s="824">
        <v>46</v>
      </c>
      <c r="C63" s="770"/>
      <c r="D63" s="891" t="s">
        <v>2301</v>
      </c>
      <c r="E63" s="770"/>
      <c r="F63" s="770"/>
      <c r="G63" s="770"/>
      <c r="H63" s="816"/>
      <c r="I63" s="927">
        <f t="shared" si="7"/>
        <v>0</v>
      </c>
      <c r="J63" s="927">
        <f t="shared" si="8"/>
        <v>0</v>
      </c>
      <c r="K63" s="927">
        <f t="shared" si="9"/>
        <v>0</v>
      </c>
      <c r="L63" s="771" t="str">
        <f t="shared" si="10"/>
        <v/>
      </c>
      <c r="M63" s="771" t="str">
        <f t="shared" si="11"/>
        <v/>
      </c>
      <c r="N63" s="771" t="str">
        <f t="shared" si="12"/>
        <v/>
      </c>
      <c r="O63" s="881"/>
      <c r="P63" s="881" t="s">
        <v>149</v>
      </c>
      <c r="Q63" s="881"/>
      <c r="R63" s="881"/>
      <c r="S63" s="881"/>
      <c r="T63" s="770"/>
      <c r="U63" s="770" t="s">
        <v>2302</v>
      </c>
      <c r="V63" s="770"/>
      <c r="W63" s="770"/>
      <c r="X63" s="770"/>
      <c r="Y63" s="923"/>
      <c r="Z63" s="773"/>
      <c r="AA63" s="776"/>
      <c r="AB63" s="773"/>
      <c r="AC63" s="773"/>
      <c r="AD63" s="773"/>
    </row>
    <row r="64" spans="1:30" ht="18" customHeight="1">
      <c r="A64" s="772"/>
      <c r="B64" s="824">
        <v>47</v>
      </c>
      <c r="C64" s="770"/>
      <c r="D64" s="891" t="s">
        <v>2303</v>
      </c>
      <c r="E64" s="770"/>
      <c r="F64" s="770"/>
      <c r="G64" s="770"/>
      <c r="H64" s="816"/>
      <c r="I64" s="927">
        <f t="shared" si="7"/>
        <v>0</v>
      </c>
      <c r="J64" s="927">
        <f t="shared" si="8"/>
        <v>0</v>
      </c>
      <c r="K64" s="927">
        <f t="shared" si="9"/>
        <v>0</v>
      </c>
      <c r="L64" s="771" t="str">
        <f t="shared" si="10"/>
        <v/>
      </c>
      <c r="M64" s="771" t="str">
        <f t="shared" si="11"/>
        <v/>
      </c>
      <c r="N64" s="771" t="str">
        <f t="shared" si="12"/>
        <v/>
      </c>
      <c r="O64" s="881"/>
      <c r="P64" s="881" t="s">
        <v>150</v>
      </c>
      <c r="Q64" s="881"/>
      <c r="R64" s="881"/>
      <c r="S64" s="881"/>
      <c r="T64" s="770"/>
      <c r="U64" s="770" t="s">
        <v>2304</v>
      </c>
      <c r="V64" s="770"/>
      <c r="W64" s="770"/>
      <c r="X64" s="770"/>
      <c r="Y64" s="923"/>
      <c r="Z64" s="773"/>
      <c r="AA64" s="776" t="s">
        <v>2305</v>
      </c>
      <c r="AB64" s="773"/>
      <c r="AC64" s="773"/>
      <c r="AD64" s="773"/>
    </row>
    <row r="65" spans="1:30" ht="18" customHeight="1">
      <c r="A65" s="772"/>
      <c r="B65" s="824">
        <v>48</v>
      </c>
      <c r="C65" s="770"/>
      <c r="D65" s="891"/>
      <c r="E65" s="770"/>
      <c r="F65" s="770"/>
      <c r="G65" s="770"/>
      <c r="H65" s="816"/>
      <c r="I65" s="927">
        <f t="shared" si="7"/>
        <v>0</v>
      </c>
      <c r="J65" s="927">
        <f t="shared" si="8"/>
        <v>0</v>
      </c>
      <c r="K65" s="927">
        <f t="shared" si="9"/>
        <v>0</v>
      </c>
      <c r="L65" s="771" t="str">
        <f t="shared" si="10"/>
        <v/>
      </c>
      <c r="M65" s="771" t="str">
        <f t="shared" si="11"/>
        <v/>
      </c>
      <c r="N65" s="771" t="str">
        <f t="shared" si="12"/>
        <v/>
      </c>
      <c r="O65" s="881"/>
      <c r="P65" s="881" t="s">
        <v>2221</v>
      </c>
      <c r="Q65" s="881"/>
      <c r="R65" s="881"/>
      <c r="S65" s="881"/>
      <c r="T65" s="770"/>
      <c r="U65" s="770" t="s">
        <v>2306</v>
      </c>
      <c r="V65" s="770"/>
      <c r="W65" s="770"/>
      <c r="X65" s="770"/>
      <c r="Y65" s="923"/>
      <c r="Z65" s="773"/>
      <c r="AA65" s="776"/>
      <c r="AB65" s="773"/>
      <c r="AC65" s="773"/>
      <c r="AD65" s="773"/>
    </row>
    <row r="66" spans="1:30" ht="18" customHeight="1">
      <c r="A66" s="772"/>
      <c r="B66" s="824">
        <v>49</v>
      </c>
      <c r="C66" s="770"/>
      <c r="D66" s="891"/>
      <c r="E66" s="770"/>
      <c r="F66" s="770"/>
      <c r="G66" s="770"/>
      <c r="H66" s="816"/>
      <c r="I66" s="927">
        <f t="shared" si="7"/>
        <v>0</v>
      </c>
      <c r="J66" s="927">
        <f t="shared" si="8"/>
        <v>0</v>
      </c>
      <c r="K66" s="927">
        <f t="shared" si="9"/>
        <v>0</v>
      </c>
      <c r="L66" s="771" t="str">
        <f t="shared" si="10"/>
        <v/>
      </c>
      <c r="M66" s="771" t="str">
        <f t="shared" si="11"/>
        <v/>
      </c>
      <c r="N66" s="771" t="str">
        <f t="shared" si="12"/>
        <v/>
      </c>
      <c r="O66" s="881"/>
      <c r="P66" s="881" t="s">
        <v>2225</v>
      </c>
      <c r="Q66" s="881"/>
      <c r="R66" s="881"/>
      <c r="S66" s="881"/>
      <c r="T66" s="770"/>
      <c r="U66" s="770" t="s">
        <v>2307</v>
      </c>
      <c r="V66" s="770"/>
      <c r="W66" s="770"/>
      <c r="X66" s="770"/>
      <c r="Y66" s="923"/>
      <c r="Z66" s="773"/>
      <c r="AA66" s="776"/>
      <c r="AB66" s="773"/>
      <c r="AC66" s="773"/>
      <c r="AD66" s="773"/>
    </row>
    <row r="67" spans="1:30" ht="27" customHeight="1">
      <c r="A67" s="772"/>
      <c r="B67" s="824">
        <v>50</v>
      </c>
      <c r="C67" s="770"/>
      <c r="D67" s="891"/>
      <c r="E67" s="770"/>
      <c r="F67" s="770"/>
      <c r="G67" s="770"/>
      <c r="H67" s="816"/>
      <c r="I67" s="927">
        <f t="shared" si="7"/>
        <v>0</v>
      </c>
      <c r="J67" s="927">
        <f t="shared" si="8"/>
        <v>0</v>
      </c>
      <c r="K67" s="927">
        <f t="shared" si="9"/>
        <v>0</v>
      </c>
      <c r="L67" s="771" t="str">
        <f t="shared" si="10"/>
        <v/>
      </c>
      <c r="M67" s="771" t="str">
        <f t="shared" si="11"/>
        <v/>
      </c>
      <c r="N67" s="771" t="str">
        <f t="shared" si="12"/>
        <v/>
      </c>
      <c r="O67" s="881"/>
      <c r="P67" s="881" t="s">
        <v>2308</v>
      </c>
      <c r="Q67" s="881"/>
      <c r="R67" s="881"/>
      <c r="S67" s="881"/>
      <c r="T67" s="770"/>
      <c r="U67" s="770" t="s">
        <v>2309</v>
      </c>
      <c r="V67" s="770"/>
      <c r="W67" s="770"/>
      <c r="X67" s="770"/>
      <c r="Y67" s="923"/>
      <c r="Z67" s="773"/>
      <c r="AA67" s="776"/>
      <c r="AB67" s="773"/>
      <c r="AC67" s="773"/>
      <c r="AD67" s="773"/>
    </row>
    <row r="68" spans="1:30" ht="27" customHeight="1">
      <c r="A68" s="772"/>
      <c r="B68" s="824">
        <v>51</v>
      </c>
      <c r="C68" s="770"/>
      <c r="D68" s="891"/>
      <c r="E68" s="770"/>
      <c r="F68" s="770"/>
      <c r="G68" s="770"/>
      <c r="H68" s="816"/>
      <c r="I68" s="927">
        <f t="shared" si="7"/>
        <v>0</v>
      </c>
      <c r="J68" s="927">
        <f t="shared" si="8"/>
        <v>0</v>
      </c>
      <c r="K68" s="927">
        <f t="shared" si="9"/>
        <v>0</v>
      </c>
      <c r="L68" s="771" t="str">
        <f t="shared" si="10"/>
        <v/>
      </c>
      <c r="M68" s="771" t="str">
        <f t="shared" si="11"/>
        <v/>
      </c>
      <c r="N68" s="771" t="str">
        <f t="shared" si="12"/>
        <v/>
      </c>
      <c r="O68" s="881"/>
      <c r="P68" s="881" t="s">
        <v>2310</v>
      </c>
      <c r="Q68" s="881"/>
      <c r="R68" s="881"/>
      <c r="S68" s="881"/>
      <c r="T68" s="770"/>
      <c r="U68" s="770" t="s">
        <v>2311</v>
      </c>
      <c r="V68" s="770"/>
      <c r="W68" s="770"/>
      <c r="X68" s="770"/>
      <c r="Y68" s="923"/>
      <c r="Z68" s="773"/>
      <c r="AA68" s="776"/>
      <c r="AB68" s="773"/>
      <c r="AC68" s="773"/>
      <c r="AD68" s="773"/>
    </row>
    <row r="69" spans="1:30" ht="9" customHeight="1">
      <c r="A69" s="772"/>
      <c r="B69" s="824">
        <v>52</v>
      </c>
      <c r="C69" s="770"/>
      <c r="D69" s="891" t="s">
        <v>2312</v>
      </c>
      <c r="E69" s="770"/>
      <c r="F69" s="770"/>
      <c r="G69" s="770"/>
      <c r="H69" s="816"/>
      <c r="I69" s="927">
        <f t="shared" si="7"/>
        <v>0</v>
      </c>
      <c r="J69" s="927">
        <f t="shared" si="8"/>
        <v>0</v>
      </c>
      <c r="K69" s="927">
        <f t="shared" si="9"/>
        <v>0</v>
      </c>
      <c r="L69" s="771" t="str">
        <f t="shared" si="10"/>
        <v/>
      </c>
      <c r="M69" s="771" t="str">
        <f t="shared" si="11"/>
        <v/>
      </c>
      <c r="N69" s="771" t="str">
        <f t="shared" si="12"/>
        <v/>
      </c>
      <c r="O69" s="881"/>
      <c r="P69" s="881" t="s">
        <v>151</v>
      </c>
      <c r="Q69" s="881"/>
      <c r="R69" s="881"/>
      <c r="S69" s="881"/>
      <c r="T69" s="770"/>
      <c r="U69" s="770" t="s">
        <v>2313</v>
      </c>
      <c r="V69" s="770"/>
      <c r="W69" s="770"/>
      <c r="X69" s="770"/>
      <c r="Y69" s="923"/>
      <c r="Z69" s="773"/>
      <c r="AA69" s="776"/>
      <c r="AB69" s="773"/>
      <c r="AC69" s="773"/>
      <c r="AD69" s="773"/>
    </row>
    <row r="70" spans="1:30" ht="27" customHeight="1">
      <c r="A70" s="772"/>
      <c r="B70" s="824">
        <v>53</v>
      </c>
      <c r="C70" s="770"/>
      <c r="D70" s="891"/>
      <c r="E70" s="770" t="s">
        <v>2297</v>
      </c>
      <c r="F70" s="770"/>
      <c r="G70" s="770"/>
      <c r="H70" s="816"/>
      <c r="I70" s="927">
        <f t="shared" si="7"/>
        <v>0</v>
      </c>
      <c r="J70" s="927">
        <f t="shared" si="8"/>
        <v>0</v>
      </c>
      <c r="K70" s="927">
        <f t="shared" si="9"/>
        <v>0</v>
      </c>
      <c r="L70" s="771" t="str">
        <f t="shared" si="10"/>
        <v/>
      </c>
      <c r="M70" s="771" t="str">
        <f t="shared" si="11"/>
        <v/>
      </c>
      <c r="N70" s="771" t="str">
        <f t="shared" si="12"/>
        <v/>
      </c>
      <c r="O70" s="881"/>
      <c r="P70" s="881"/>
      <c r="Q70" s="881" t="s">
        <v>93</v>
      </c>
      <c r="R70" s="881"/>
      <c r="S70" s="881"/>
      <c r="T70" s="770"/>
      <c r="U70" s="770"/>
      <c r="V70" s="770" t="s">
        <v>2314</v>
      </c>
      <c r="W70" s="770"/>
      <c r="X70" s="770"/>
      <c r="Y70" s="923"/>
      <c r="Z70" s="773"/>
      <c r="AA70" s="776"/>
      <c r="AB70" s="773"/>
      <c r="AC70" s="773"/>
      <c r="AD70" s="773"/>
    </row>
    <row r="71" spans="1:30" ht="36" customHeight="1">
      <c r="A71" s="772"/>
      <c r="B71" s="824">
        <v>54</v>
      </c>
      <c r="C71" s="770"/>
      <c r="D71" s="891"/>
      <c r="E71" s="770" t="s">
        <v>2299</v>
      </c>
      <c r="F71" s="770"/>
      <c r="G71" s="770"/>
      <c r="H71" s="816"/>
      <c r="I71" s="927">
        <f t="shared" si="7"/>
        <v>0</v>
      </c>
      <c r="J71" s="927">
        <f t="shared" si="8"/>
        <v>0</v>
      </c>
      <c r="K71" s="927">
        <f t="shared" si="9"/>
        <v>0</v>
      </c>
      <c r="L71" s="771" t="str">
        <f t="shared" si="10"/>
        <v/>
      </c>
      <c r="M71" s="771" t="str">
        <f t="shared" si="11"/>
        <v/>
      </c>
      <c r="N71" s="771" t="str">
        <f t="shared" si="12"/>
        <v/>
      </c>
      <c r="O71" s="881"/>
      <c r="P71" s="881"/>
      <c r="Q71" s="881" t="s">
        <v>112</v>
      </c>
      <c r="R71" s="881"/>
      <c r="S71" s="881"/>
      <c r="T71" s="770"/>
      <c r="U71" s="770"/>
      <c r="V71" s="770" t="s">
        <v>2315</v>
      </c>
      <c r="W71" s="770"/>
      <c r="X71" s="770"/>
      <c r="Y71" s="923"/>
      <c r="Z71" s="773"/>
      <c r="AA71" s="776"/>
      <c r="AB71" s="773"/>
      <c r="AC71" s="773"/>
      <c r="AD71" s="773"/>
    </row>
    <row r="72" spans="1:30" ht="27" customHeight="1">
      <c r="A72" s="772"/>
      <c r="B72" s="824">
        <v>55</v>
      </c>
      <c r="C72" s="770"/>
      <c r="D72" s="891"/>
      <c r="E72" s="770" t="s">
        <v>2301</v>
      </c>
      <c r="F72" s="770"/>
      <c r="G72" s="770"/>
      <c r="H72" s="816"/>
      <c r="I72" s="927">
        <f t="shared" si="7"/>
        <v>0</v>
      </c>
      <c r="J72" s="927">
        <f t="shared" si="8"/>
        <v>0</v>
      </c>
      <c r="K72" s="927">
        <f t="shared" si="9"/>
        <v>0</v>
      </c>
      <c r="L72" s="771" t="str">
        <f t="shared" si="10"/>
        <v/>
      </c>
      <c r="M72" s="771" t="str">
        <f t="shared" si="11"/>
        <v/>
      </c>
      <c r="N72" s="771" t="str">
        <f t="shared" si="12"/>
        <v/>
      </c>
      <c r="O72" s="881"/>
      <c r="P72" s="881"/>
      <c r="Q72" s="881" t="s">
        <v>149</v>
      </c>
      <c r="R72" s="881"/>
      <c r="S72" s="881"/>
      <c r="T72" s="770"/>
      <c r="U72" s="770"/>
      <c r="V72" s="770" t="s">
        <v>2316</v>
      </c>
      <c r="W72" s="770"/>
      <c r="X72" s="770"/>
      <c r="Y72" s="923"/>
      <c r="Z72" s="773"/>
      <c r="AA72" s="776"/>
      <c r="AB72" s="773"/>
      <c r="AC72" s="773"/>
      <c r="AD72" s="773"/>
    </row>
    <row r="73" spans="1:30" ht="36" customHeight="1">
      <c r="A73" s="772"/>
      <c r="B73" s="824">
        <v>56</v>
      </c>
      <c r="C73" s="770"/>
      <c r="D73" s="891"/>
      <c r="E73" s="770" t="s">
        <v>2303</v>
      </c>
      <c r="F73" s="770"/>
      <c r="G73" s="770"/>
      <c r="H73" s="816"/>
      <c r="I73" s="927">
        <f t="shared" si="7"/>
        <v>0</v>
      </c>
      <c r="J73" s="927">
        <f t="shared" si="8"/>
        <v>0</v>
      </c>
      <c r="K73" s="927">
        <f t="shared" si="9"/>
        <v>0</v>
      </c>
      <c r="L73" s="771" t="str">
        <f t="shared" si="10"/>
        <v/>
      </c>
      <c r="M73" s="771" t="str">
        <f t="shared" si="11"/>
        <v/>
      </c>
      <c r="N73" s="771" t="str">
        <f t="shared" si="12"/>
        <v/>
      </c>
      <c r="O73" s="881"/>
      <c r="P73" s="881"/>
      <c r="Q73" s="881" t="s">
        <v>150</v>
      </c>
      <c r="R73" s="881"/>
      <c r="S73" s="881"/>
      <c r="T73" s="770"/>
      <c r="U73" s="770"/>
      <c r="V73" s="770" t="s">
        <v>2317</v>
      </c>
      <c r="W73" s="770"/>
      <c r="X73" s="770"/>
      <c r="Y73" s="923"/>
      <c r="Z73" s="773"/>
      <c r="AA73" s="776"/>
      <c r="AB73" s="773"/>
      <c r="AC73" s="773"/>
      <c r="AD73" s="773"/>
    </row>
    <row r="74" spans="1:30" ht="18" customHeight="1">
      <c r="A74" s="772"/>
      <c r="B74" s="824">
        <v>57</v>
      </c>
      <c r="C74" s="770"/>
      <c r="D74" s="891"/>
      <c r="E74" s="770" t="s">
        <v>2312</v>
      </c>
      <c r="F74" s="770"/>
      <c r="G74" s="770"/>
      <c r="H74" s="816"/>
      <c r="I74" s="927">
        <f t="shared" si="7"/>
        <v>0</v>
      </c>
      <c r="J74" s="927">
        <f t="shared" si="8"/>
        <v>0</v>
      </c>
      <c r="K74" s="927">
        <f t="shared" si="9"/>
        <v>0</v>
      </c>
      <c r="L74" s="771" t="str">
        <f t="shared" si="10"/>
        <v/>
      </c>
      <c r="M74" s="771" t="str">
        <f t="shared" si="11"/>
        <v/>
      </c>
      <c r="N74" s="771" t="str">
        <f t="shared" si="12"/>
        <v/>
      </c>
      <c r="O74" s="881"/>
      <c r="P74" s="881"/>
      <c r="Q74" s="881" t="s">
        <v>151</v>
      </c>
      <c r="R74" s="881"/>
      <c r="S74" s="881"/>
      <c r="T74" s="770"/>
      <c r="U74" s="770"/>
      <c r="V74" s="770" t="s">
        <v>2318</v>
      </c>
      <c r="W74" s="770"/>
      <c r="X74" s="770"/>
      <c r="Y74" s="923"/>
      <c r="Z74" s="773"/>
      <c r="AA74" s="776"/>
      <c r="AB74" s="773"/>
      <c r="AC74" s="773"/>
      <c r="AD74" s="773"/>
    </row>
    <row r="75" spans="1:30" ht="18" customHeight="1">
      <c r="A75" s="772"/>
      <c r="B75" s="824">
        <v>58</v>
      </c>
      <c r="C75" s="770"/>
      <c r="D75" s="891"/>
      <c r="E75" s="770"/>
      <c r="F75" s="770" t="s">
        <v>2297</v>
      </c>
      <c r="G75" s="770"/>
      <c r="H75" s="816"/>
      <c r="I75" s="927">
        <f t="shared" si="7"/>
        <v>0</v>
      </c>
      <c r="J75" s="927">
        <f t="shared" si="8"/>
        <v>0</v>
      </c>
      <c r="K75" s="927">
        <f t="shared" si="9"/>
        <v>0</v>
      </c>
      <c r="L75" s="771" t="str">
        <f t="shared" si="10"/>
        <v/>
      </c>
      <c r="M75" s="771" t="str">
        <f t="shared" si="11"/>
        <v/>
      </c>
      <c r="N75" s="771" t="str">
        <f t="shared" si="12"/>
        <v/>
      </c>
      <c r="O75" s="881"/>
      <c r="P75" s="881"/>
      <c r="Q75" s="881"/>
      <c r="R75" s="881" t="s">
        <v>93</v>
      </c>
      <c r="S75" s="881"/>
      <c r="T75" s="770"/>
      <c r="U75" s="770"/>
      <c r="V75" s="770"/>
      <c r="W75" s="770" t="s">
        <v>2319</v>
      </c>
      <c r="X75" s="770"/>
      <c r="Y75" s="923"/>
      <c r="Z75" s="773"/>
      <c r="AA75" s="776"/>
      <c r="AB75" s="773"/>
      <c r="AC75" s="773"/>
      <c r="AD75" s="773"/>
    </row>
    <row r="76" spans="1:30" ht="36" customHeight="1">
      <c r="A76" s="772"/>
      <c r="B76" s="824">
        <v>59</v>
      </c>
      <c r="C76" s="770"/>
      <c r="D76" s="891"/>
      <c r="E76" s="770"/>
      <c r="F76" s="770" t="s">
        <v>2299</v>
      </c>
      <c r="G76" s="770"/>
      <c r="H76" s="816"/>
      <c r="I76" s="927">
        <f t="shared" si="7"/>
        <v>0</v>
      </c>
      <c r="J76" s="927">
        <f t="shared" si="8"/>
        <v>0</v>
      </c>
      <c r="K76" s="927">
        <f t="shared" si="9"/>
        <v>0</v>
      </c>
      <c r="L76" s="771" t="str">
        <f t="shared" si="10"/>
        <v/>
      </c>
      <c r="M76" s="771" t="str">
        <f t="shared" si="11"/>
        <v/>
      </c>
      <c r="N76" s="771" t="str">
        <f t="shared" si="12"/>
        <v/>
      </c>
      <c r="O76" s="881"/>
      <c r="P76" s="881"/>
      <c r="Q76" s="881"/>
      <c r="R76" s="881" t="s">
        <v>112</v>
      </c>
      <c r="S76" s="881"/>
      <c r="T76" s="770"/>
      <c r="U76" s="770"/>
      <c r="V76" s="770"/>
      <c r="W76" s="770" t="s">
        <v>2320</v>
      </c>
      <c r="X76" s="770"/>
      <c r="Y76" s="923"/>
      <c r="Z76" s="773"/>
      <c r="AA76" s="776"/>
      <c r="AB76" s="773"/>
      <c r="AC76" s="773"/>
      <c r="AD76" s="773"/>
    </row>
    <row r="77" spans="1:30" ht="18" customHeight="1">
      <c r="A77" s="772"/>
      <c r="B77" s="824">
        <v>60</v>
      </c>
      <c r="C77" s="770"/>
      <c r="D77" s="891"/>
      <c r="E77" s="770"/>
      <c r="F77" s="770" t="s">
        <v>2301</v>
      </c>
      <c r="G77" s="770"/>
      <c r="H77" s="816"/>
      <c r="I77" s="927">
        <f t="shared" si="7"/>
        <v>0</v>
      </c>
      <c r="J77" s="927">
        <f t="shared" si="8"/>
        <v>0</v>
      </c>
      <c r="K77" s="927">
        <f t="shared" si="9"/>
        <v>0</v>
      </c>
      <c r="L77" s="771" t="str">
        <f t="shared" si="10"/>
        <v/>
      </c>
      <c r="M77" s="771" t="str">
        <f t="shared" si="11"/>
        <v/>
      </c>
      <c r="N77" s="771" t="str">
        <f t="shared" si="12"/>
        <v/>
      </c>
      <c r="O77" s="881"/>
      <c r="P77" s="881"/>
      <c r="Q77" s="881"/>
      <c r="R77" s="881" t="s">
        <v>149</v>
      </c>
      <c r="S77" s="881"/>
      <c r="T77" s="770"/>
      <c r="U77" s="770"/>
      <c r="V77" s="770"/>
      <c r="W77" s="770" t="s">
        <v>2321</v>
      </c>
      <c r="X77" s="770"/>
      <c r="Y77" s="923"/>
      <c r="Z77" s="773"/>
      <c r="AA77" s="776"/>
      <c r="AB77" s="773"/>
      <c r="AC77" s="773"/>
      <c r="AD77" s="773"/>
    </row>
    <row r="78" spans="1:30" ht="72" customHeight="1">
      <c r="A78" s="772"/>
      <c r="B78" s="824">
        <v>61</v>
      </c>
      <c r="C78" s="770" t="s">
        <v>2297</v>
      </c>
      <c r="D78" s="891"/>
      <c r="E78" s="770"/>
      <c r="F78" s="770"/>
      <c r="G78" s="770"/>
      <c r="H78" s="816"/>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70" t="s">
        <v>721</v>
      </c>
      <c r="U78" s="770"/>
      <c r="V78" s="770"/>
      <c r="W78" s="770"/>
      <c r="X78" s="770"/>
      <c r="Y78" s="923"/>
      <c r="Z78" s="773" t="s">
        <v>2322</v>
      </c>
      <c r="AA78" s="776"/>
      <c r="AB78" s="773"/>
      <c r="AC78" s="773"/>
      <c r="AD78" s="773"/>
    </row>
    <row r="79" spans="1:30" ht="36" customHeight="1">
      <c r="A79" s="772"/>
      <c r="B79" s="824">
        <v>62</v>
      </c>
      <c r="C79" s="770" t="s">
        <v>2299</v>
      </c>
      <c r="D79" s="891"/>
      <c r="E79" s="770"/>
      <c r="F79" s="770"/>
      <c r="G79" s="770"/>
      <c r="H79" s="816"/>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112</v>
      </c>
      <c r="P79" s="881"/>
      <c r="Q79" s="881"/>
      <c r="R79" s="881"/>
      <c r="S79" s="881"/>
      <c r="T79" s="770" t="s">
        <v>2323</v>
      </c>
      <c r="U79" s="770"/>
      <c r="V79" s="770"/>
      <c r="W79" s="770"/>
      <c r="X79" s="770"/>
      <c r="Y79" s="923"/>
      <c r="Z79" s="773" t="s">
        <v>2324</v>
      </c>
      <c r="AA79" s="776"/>
      <c r="AB79" s="773"/>
      <c r="AC79" s="773"/>
      <c r="AD79" s="773"/>
    </row>
    <row r="80" spans="1:30" ht="45" customHeight="1">
      <c r="A80" s="772"/>
      <c r="B80" s="824">
        <v>63</v>
      </c>
      <c r="C80" s="770" t="s">
        <v>2301</v>
      </c>
      <c r="D80" s="891"/>
      <c r="E80" s="770"/>
      <c r="F80" s="770"/>
      <c r="G80" s="770"/>
      <c r="H80" s="816"/>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149</v>
      </c>
      <c r="P80" s="881"/>
      <c r="Q80" s="881"/>
      <c r="R80" s="881"/>
      <c r="S80" s="881"/>
      <c r="T80" s="770" t="s">
        <v>2325</v>
      </c>
      <c r="U80" s="770"/>
      <c r="V80" s="770"/>
      <c r="W80" s="770"/>
      <c r="X80" s="770"/>
      <c r="Y80" s="923"/>
      <c r="Z80" s="773" t="s">
        <v>2326</v>
      </c>
      <c r="AA80" s="776"/>
      <c r="AB80" s="773"/>
      <c r="AC80" s="773"/>
      <c r="AD80" s="773"/>
    </row>
    <row r="81" spans="1:30" ht="36" customHeight="1">
      <c r="A81" s="772"/>
      <c r="B81" s="824">
        <v>64</v>
      </c>
      <c r="C81" s="770" t="s">
        <v>2303</v>
      </c>
      <c r="D81" s="891"/>
      <c r="E81" s="770"/>
      <c r="F81" s="770"/>
      <c r="G81" s="770"/>
      <c r="H81" s="816"/>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1" t="s">
        <v>2212</v>
      </c>
      <c r="P81" s="881"/>
      <c r="Q81" s="881"/>
      <c r="R81" s="881"/>
      <c r="S81" s="881"/>
      <c r="T81" s="770" t="s">
        <v>2327</v>
      </c>
      <c r="U81" s="770"/>
      <c r="V81" s="770"/>
      <c r="W81" s="770"/>
      <c r="X81" s="770"/>
      <c r="Y81" s="923"/>
      <c r="Z81" s="773" t="s">
        <v>2328</v>
      </c>
      <c r="AA81" s="776"/>
      <c r="AB81" s="773"/>
      <c r="AC81" s="773"/>
      <c r="AD81" s="773"/>
    </row>
    <row r="82" spans="1:30" ht="90" customHeight="1">
      <c r="A82" s="772"/>
      <c r="B82" s="824">
        <v>65</v>
      </c>
      <c r="C82" s="770" t="s">
        <v>2312</v>
      </c>
      <c r="D82" s="891"/>
      <c r="E82" s="770"/>
      <c r="F82" s="770"/>
      <c r="G82" s="770"/>
      <c r="H82" s="816"/>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70" t="s">
        <v>2329</v>
      </c>
      <c r="U82" s="770"/>
      <c r="V82" s="770"/>
      <c r="W82" s="770"/>
      <c r="X82" s="770"/>
      <c r="Y82" s="923"/>
      <c r="Z82" s="773" t="s">
        <v>2330</v>
      </c>
      <c r="AA82" s="776"/>
      <c r="AB82" s="773"/>
      <c r="AC82" s="773"/>
      <c r="AD82" s="773"/>
    </row>
    <row r="83" spans="1:30" ht="9" customHeight="1">
      <c r="A83" s="772"/>
      <c r="B83" s="824">
        <v>66</v>
      </c>
      <c r="C83" s="770"/>
      <c r="D83" s="891"/>
      <c r="E83" s="770"/>
      <c r="F83" s="770"/>
      <c r="G83" s="770"/>
      <c r="H83" s="816"/>
      <c r="I83" s="927" t="str">
        <f t="shared" si="13"/>
        <v>10.1</v>
      </c>
      <c r="J83" s="927" t="str">
        <f t="shared" si="14"/>
        <v xml:space="preserve">По приборам учёта </v>
      </c>
      <c r="K83" s="927">
        <f t="shared" si="15"/>
        <v>0</v>
      </c>
      <c r="L83" s="771" t="str">
        <f t="shared" si="16"/>
        <v>10.1</v>
      </c>
      <c r="M83" s="771" t="str">
        <f t="shared" si="17"/>
        <v xml:space="preserve">По приборам учёта </v>
      </c>
      <c r="N83" s="771" t="str">
        <f t="shared" si="18"/>
        <v/>
      </c>
      <c r="O83" s="881" t="s">
        <v>2221</v>
      </c>
      <c r="P83" s="881"/>
      <c r="Q83" s="881"/>
      <c r="R83" s="881"/>
      <c r="S83" s="881"/>
      <c r="T83" s="770" t="s">
        <v>2331</v>
      </c>
      <c r="U83" s="770"/>
      <c r="V83" s="770"/>
      <c r="W83" s="770"/>
      <c r="X83" s="770"/>
      <c r="Y83" s="923"/>
      <c r="Z83" s="773"/>
      <c r="AA83" s="776"/>
      <c r="AB83" s="773"/>
      <c r="AC83" s="773"/>
      <c r="AD83" s="773"/>
    </row>
    <row r="84" spans="1:30" ht="54" customHeight="1">
      <c r="A84" s="772"/>
      <c r="B84" s="824">
        <v>67</v>
      </c>
      <c r="C84" s="770"/>
      <c r="D84" s="891"/>
      <c r="E84" s="770"/>
      <c r="F84" s="770"/>
      <c r="G84" s="770"/>
      <c r="H84" s="816"/>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1" t="s">
        <v>2332</v>
      </c>
      <c r="P84" s="881"/>
      <c r="Q84" s="881"/>
      <c r="R84" s="881"/>
      <c r="S84" s="881"/>
      <c r="T84" s="770" t="s">
        <v>2333</v>
      </c>
      <c r="U84" s="770"/>
      <c r="V84" s="770"/>
      <c r="W84" s="770"/>
      <c r="X84" s="770"/>
      <c r="Y84" s="923"/>
      <c r="Z84" s="773"/>
      <c r="AA84" s="776"/>
      <c r="AB84" s="773"/>
      <c r="AC84" s="773"/>
      <c r="AD84" s="773"/>
    </row>
    <row r="85" spans="1:30" ht="9" customHeight="1">
      <c r="A85" s="772"/>
      <c r="B85" s="824">
        <v>68</v>
      </c>
      <c r="C85" s="770"/>
      <c r="D85" s="891"/>
      <c r="E85" s="770"/>
      <c r="F85" s="770"/>
      <c r="G85" s="770"/>
      <c r="H85" s="816"/>
      <c r="I85" s="927" t="str">
        <f t="shared" si="13"/>
        <v>10.2</v>
      </c>
      <c r="J85" s="927" t="str">
        <f t="shared" si="14"/>
        <v>Расчётным путём</v>
      </c>
      <c r="K85" s="927">
        <f t="shared" si="15"/>
        <v>0</v>
      </c>
      <c r="L85" s="771" t="str">
        <f t="shared" si="16"/>
        <v>10.2</v>
      </c>
      <c r="M85" s="771" t="str">
        <f t="shared" si="17"/>
        <v>Расчётным путём</v>
      </c>
      <c r="N85" s="771" t="str">
        <f t="shared" si="18"/>
        <v/>
      </c>
      <c r="O85" s="881" t="s">
        <v>2225</v>
      </c>
      <c r="P85" s="881"/>
      <c r="Q85" s="881"/>
      <c r="R85" s="881"/>
      <c r="S85" s="881"/>
      <c r="T85" s="770" t="s">
        <v>2334</v>
      </c>
      <c r="U85" s="770"/>
      <c r="V85" s="770"/>
      <c r="W85" s="770"/>
      <c r="X85" s="770"/>
      <c r="Y85" s="923"/>
      <c r="Z85" s="773"/>
      <c r="AA85" s="776"/>
      <c r="AB85" s="773"/>
      <c r="AC85" s="773"/>
      <c r="AD85" s="773"/>
    </row>
    <row r="86" spans="1:30" ht="27" customHeight="1">
      <c r="A86" s="772"/>
      <c r="B86" s="824">
        <v>69</v>
      </c>
      <c r="C86" s="770"/>
      <c r="D86" s="891"/>
      <c r="E86" s="770"/>
      <c r="F86" s="770"/>
      <c r="G86" s="770"/>
      <c r="H86" s="816"/>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1" t="s">
        <v>2335</v>
      </c>
      <c r="P86" s="881"/>
      <c r="Q86" s="881"/>
      <c r="R86" s="881"/>
      <c r="S86" s="881"/>
      <c r="T86" s="770" t="s">
        <v>2336</v>
      </c>
      <c r="U86" s="770"/>
      <c r="V86" s="770"/>
      <c r="W86" s="770"/>
      <c r="X86" s="770"/>
      <c r="Y86" s="923"/>
      <c r="Z86" s="773"/>
      <c r="AA86" s="776"/>
      <c r="AB86" s="773"/>
      <c r="AC86" s="773"/>
      <c r="AD86" s="773"/>
    </row>
    <row r="87" spans="1:30" ht="36" customHeight="1">
      <c r="A87" s="772"/>
      <c r="B87" s="824">
        <v>70</v>
      </c>
      <c r="C87" s="770" t="s">
        <v>2337</v>
      </c>
      <c r="D87" s="891"/>
      <c r="E87" s="770"/>
      <c r="F87" s="770"/>
      <c r="G87" s="770"/>
      <c r="H87" s="816"/>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1" t="s">
        <v>151</v>
      </c>
      <c r="P87" s="881"/>
      <c r="Q87" s="881"/>
      <c r="R87" s="881"/>
      <c r="S87" s="881"/>
      <c r="T87" s="770" t="s">
        <v>2338</v>
      </c>
      <c r="U87" s="770"/>
      <c r="V87" s="770"/>
      <c r="W87" s="770"/>
      <c r="X87" s="770"/>
      <c r="Y87" s="923"/>
      <c r="Z87" s="773"/>
      <c r="AA87" s="776"/>
      <c r="AB87" s="773"/>
      <c r="AC87" s="773"/>
      <c r="AD87" s="773"/>
    </row>
    <row r="88" spans="1:30" ht="18" customHeight="1">
      <c r="A88" s="772"/>
      <c r="B88" s="824">
        <v>71</v>
      </c>
      <c r="C88" s="770" t="s">
        <v>2339</v>
      </c>
      <c r="D88" s="891"/>
      <c r="E88" s="770"/>
      <c r="F88" s="770"/>
      <c r="G88" s="770"/>
      <c r="H88" s="816"/>
      <c r="I88" s="927" t="str">
        <f t="shared" si="13"/>
        <v>12</v>
      </c>
      <c r="J88" s="927" t="str">
        <f t="shared" si="14"/>
        <v>Фактический объем потерь при передаче тепловой энергии</v>
      </c>
      <c r="K88" s="927">
        <f t="shared" si="15"/>
        <v>0</v>
      </c>
      <c r="L88" s="771" t="str">
        <f t="shared" si="16"/>
        <v>12</v>
      </c>
      <c r="M88" s="771" t="str">
        <f t="shared" si="17"/>
        <v>Фактический объем потерь при передаче тепловой энергии</v>
      </c>
      <c r="N88" s="771" t="str">
        <f t="shared" si="18"/>
        <v/>
      </c>
      <c r="O88" s="881" t="s">
        <v>152</v>
      </c>
      <c r="P88" s="881"/>
      <c r="Q88" s="881"/>
      <c r="R88" s="881"/>
      <c r="S88" s="881"/>
      <c r="T88" s="770" t="s">
        <v>753</v>
      </c>
      <c r="U88" s="770"/>
      <c r="V88" s="770"/>
      <c r="W88" s="770"/>
      <c r="X88" s="770"/>
      <c r="Y88" s="923"/>
      <c r="Z88" s="773"/>
      <c r="AA88" s="776"/>
      <c r="AB88" s="773"/>
      <c r="AC88" s="773"/>
      <c r="AD88" s="773"/>
    </row>
    <row r="89" spans="1:30" ht="18" customHeight="1">
      <c r="A89" s="772"/>
      <c r="B89" s="824">
        <v>72</v>
      </c>
      <c r="C89" s="770" t="s">
        <v>2340</v>
      </c>
      <c r="D89" s="891" t="s">
        <v>2337</v>
      </c>
      <c r="E89" s="770" t="s">
        <v>2337</v>
      </c>
      <c r="F89" s="770" t="s">
        <v>2303</v>
      </c>
      <c r="G89" s="770"/>
      <c r="H89" s="816"/>
      <c r="I89" s="927" t="str">
        <f t="shared" si="13"/>
        <v>13</v>
      </c>
      <c r="J89" s="927" t="str">
        <f t="shared" si="14"/>
        <v>Среднесписочная численность основного производственного персонала</v>
      </c>
      <c r="K89" s="927">
        <f t="shared" si="15"/>
        <v>0</v>
      </c>
      <c r="L89" s="771" t="str">
        <f t="shared" si="16"/>
        <v>13</v>
      </c>
      <c r="M89" s="771" t="str">
        <f t="shared" si="17"/>
        <v>Среднесписочная численность основного производственного персонала</v>
      </c>
      <c r="N89" s="771" t="str">
        <f t="shared" si="18"/>
        <v/>
      </c>
      <c r="O89" s="881" t="s">
        <v>153</v>
      </c>
      <c r="P89" s="881" t="s">
        <v>152</v>
      </c>
      <c r="Q89" s="881" t="s">
        <v>152</v>
      </c>
      <c r="R89" s="881" t="s">
        <v>150</v>
      </c>
      <c r="S89" s="881"/>
      <c r="T89" s="770" t="s">
        <v>761</v>
      </c>
      <c r="U89" s="770" t="s">
        <v>761</v>
      </c>
      <c r="V89" s="770" t="s">
        <v>761</v>
      </c>
      <c r="W89" s="770" t="s">
        <v>761</v>
      </c>
      <c r="X89" s="770"/>
      <c r="Y89" s="923"/>
      <c r="Z89" s="773"/>
      <c r="AA89" s="776"/>
      <c r="AB89" s="773"/>
      <c r="AC89" s="773"/>
      <c r="AD89" s="773"/>
    </row>
    <row r="90" spans="1:30" ht="27" customHeight="1">
      <c r="A90" s="772"/>
      <c r="B90" s="824">
        <v>73</v>
      </c>
      <c r="C90" s="770" t="s">
        <v>2341</v>
      </c>
      <c r="D90" s="891"/>
      <c r="E90" s="770"/>
      <c r="F90" s="770"/>
      <c r="G90" s="770"/>
      <c r="H90" s="816"/>
      <c r="I90" s="927" t="str">
        <f t="shared" si="13"/>
        <v>14</v>
      </c>
      <c r="J90" s="927" t="str">
        <f t="shared" si="14"/>
        <v>Среднесписочная численность административно-управленческого персонала</v>
      </c>
      <c r="K90" s="927">
        <f t="shared" si="15"/>
        <v>0</v>
      </c>
      <c r="L90" s="771" t="str">
        <f t="shared" si="16"/>
        <v>14</v>
      </c>
      <c r="M90" s="771" t="str">
        <f t="shared" si="17"/>
        <v>Среднесписочная численность административно-управленческого персонала</v>
      </c>
      <c r="N90" s="771" t="str">
        <f t="shared" si="18"/>
        <v/>
      </c>
      <c r="O90" s="881" t="s">
        <v>154</v>
      </c>
      <c r="P90" s="881"/>
      <c r="Q90" s="881"/>
      <c r="R90" s="881"/>
      <c r="S90" s="881"/>
      <c r="T90" s="770" t="s">
        <v>763</v>
      </c>
      <c r="U90" s="770"/>
      <c r="V90" s="770"/>
      <c r="W90" s="770"/>
      <c r="X90" s="770"/>
      <c r="Y90" s="923"/>
      <c r="Z90" s="773"/>
      <c r="AA90" s="776"/>
      <c r="AB90" s="773"/>
      <c r="AC90" s="773"/>
      <c r="AD90" s="773"/>
    </row>
    <row r="91" spans="1:30" ht="18" customHeight="1">
      <c r="A91" s="772"/>
      <c r="B91" s="824">
        <v>74</v>
      </c>
      <c r="C91" s="770"/>
      <c r="D91" s="891" t="s">
        <v>2339</v>
      </c>
      <c r="E91" s="770" t="s">
        <v>2339</v>
      </c>
      <c r="F91" s="770"/>
      <c r="G91" s="770"/>
      <c r="H91" s="816"/>
      <c r="I91" s="927">
        <f t="shared" si="13"/>
        <v>0</v>
      </c>
      <c r="J91" s="927">
        <f t="shared" si="14"/>
        <v>0</v>
      </c>
      <c r="K91" s="927">
        <f t="shared" si="15"/>
        <v>0</v>
      </c>
      <c r="L91" s="771" t="str">
        <f t="shared" si="16"/>
        <v/>
      </c>
      <c r="M91" s="771" t="str">
        <f t="shared" si="17"/>
        <v/>
      </c>
      <c r="N91" s="771" t="str">
        <f t="shared" si="18"/>
        <v/>
      </c>
      <c r="O91" s="881"/>
      <c r="P91" s="881" t="s">
        <v>153</v>
      </c>
      <c r="Q91" s="881" t="s">
        <v>153</v>
      </c>
      <c r="R91" s="881"/>
      <c r="S91" s="881"/>
      <c r="T91" s="770"/>
      <c r="U91" s="770" t="s">
        <v>2342</v>
      </c>
      <c r="V91" s="770" t="s">
        <v>2342</v>
      </c>
      <c r="W91" s="770"/>
      <c r="X91" s="770"/>
      <c r="Y91" s="923"/>
      <c r="Z91" s="773"/>
      <c r="AA91" s="776"/>
      <c r="AB91" s="773"/>
      <c r="AC91" s="773"/>
      <c r="AD91" s="773"/>
    </row>
    <row r="92" spans="1:30" ht="27" customHeight="1">
      <c r="A92" s="772"/>
      <c r="B92" s="824">
        <v>75</v>
      </c>
      <c r="C92" s="770"/>
      <c r="D92" s="891" t="s">
        <v>2340</v>
      </c>
      <c r="E92" s="770"/>
      <c r="F92" s="770"/>
      <c r="G92" s="770"/>
      <c r="H92" s="816"/>
      <c r="I92" s="927">
        <f t="shared" si="13"/>
        <v>0</v>
      </c>
      <c r="J92" s="927">
        <f t="shared" si="14"/>
        <v>0</v>
      </c>
      <c r="K92" s="927">
        <f t="shared" si="15"/>
        <v>0</v>
      </c>
      <c r="L92" s="771" t="str">
        <f t="shared" si="16"/>
        <v/>
      </c>
      <c r="M92" s="771" t="str">
        <f t="shared" si="17"/>
        <v/>
      </c>
      <c r="N92" s="771" t="str">
        <f t="shared" si="18"/>
        <v/>
      </c>
      <c r="O92" s="881"/>
      <c r="P92" s="881" t="s">
        <v>154</v>
      </c>
      <c r="Q92" s="881"/>
      <c r="R92" s="881"/>
      <c r="S92" s="881"/>
      <c r="T92" s="770"/>
      <c r="U92" s="770" t="s">
        <v>2343</v>
      </c>
      <c r="V92" s="770"/>
      <c r="W92" s="770"/>
      <c r="X92" s="770"/>
      <c r="Y92" s="923"/>
      <c r="Z92" s="773"/>
      <c r="AA92" s="776" t="s">
        <v>2344</v>
      </c>
      <c r="AB92" s="773"/>
      <c r="AC92" s="773"/>
      <c r="AD92" s="773"/>
    </row>
    <row r="93" spans="1:30" ht="27" customHeight="1">
      <c r="A93" s="772"/>
      <c r="B93" s="824">
        <v>76</v>
      </c>
      <c r="C93" s="770"/>
      <c r="D93" s="891"/>
      <c r="E93" s="770"/>
      <c r="F93" s="770"/>
      <c r="G93" s="770"/>
      <c r="H93" s="816"/>
      <c r="I93" s="927">
        <f t="shared" si="13"/>
        <v>0</v>
      </c>
      <c r="J93" s="927">
        <f t="shared" si="14"/>
        <v>0</v>
      </c>
      <c r="K93" s="927">
        <f t="shared" si="15"/>
        <v>0</v>
      </c>
      <c r="L93" s="771" t="str">
        <f t="shared" si="16"/>
        <v/>
      </c>
      <c r="M93" s="771" t="str">
        <f t="shared" si="17"/>
        <v/>
      </c>
      <c r="N93" s="771" t="str">
        <f t="shared" si="18"/>
        <v/>
      </c>
      <c r="O93" s="881"/>
      <c r="P93" s="881" t="s">
        <v>2252</v>
      </c>
      <c r="Q93" s="881"/>
      <c r="R93" s="881"/>
      <c r="S93" s="881"/>
      <c r="T93" s="770"/>
      <c r="U93" s="770" t="s">
        <v>2345</v>
      </c>
      <c r="V93" s="770"/>
      <c r="W93" s="770"/>
      <c r="X93" s="770"/>
      <c r="Y93" s="923"/>
      <c r="Z93" s="773"/>
      <c r="AA93" s="776" t="s">
        <v>2346</v>
      </c>
      <c r="AB93" s="773"/>
      <c r="AC93" s="773"/>
      <c r="AD93" s="773"/>
    </row>
    <row r="94" spans="1:30" ht="45" customHeight="1">
      <c r="A94" s="772"/>
      <c r="B94" s="824">
        <v>77</v>
      </c>
      <c r="C94" s="770"/>
      <c r="D94" s="891" t="s">
        <v>2341</v>
      </c>
      <c r="E94" s="770"/>
      <c r="F94" s="770"/>
      <c r="G94" s="770"/>
      <c r="H94" s="816"/>
      <c r="I94" s="927">
        <f t="shared" si="13"/>
        <v>0</v>
      </c>
      <c r="J94" s="927">
        <f t="shared" si="14"/>
        <v>0</v>
      </c>
      <c r="K94" s="927">
        <f t="shared" si="15"/>
        <v>0</v>
      </c>
      <c r="L94" s="771" t="str">
        <f t="shared" si="16"/>
        <v/>
      </c>
      <c r="M94" s="771" t="str">
        <f t="shared" si="17"/>
        <v/>
      </c>
      <c r="N94" s="771" t="str">
        <f t="shared" si="18"/>
        <v/>
      </c>
      <c r="O94" s="881"/>
      <c r="P94" s="881" t="s">
        <v>1615</v>
      </c>
      <c r="Q94" s="881"/>
      <c r="R94" s="881"/>
      <c r="S94" s="881"/>
      <c r="T94" s="770"/>
      <c r="U94" s="770" t="s">
        <v>2347</v>
      </c>
      <c r="V94" s="770"/>
      <c r="W94" s="770"/>
      <c r="X94" s="770"/>
      <c r="Y94" s="923"/>
      <c r="Z94" s="773"/>
      <c r="AA94" s="776" t="s">
        <v>2348</v>
      </c>
      <c r="AB94" s="773"/>
      <c r="AC94" s="773"/>
      <c r="AD94" s="773"/>
    </row>
    <row r="95" spans="1:30" ht="99" customHeight="1">
      <c r="A95" s="772"/>
      <c r="B95" s="824">
        <v>78</v>
      </c>
      <c r="C95" s="770" t="s">
        <v>2349</v>
      </c>
      <c r="D95" s="891"/>
      <c r="E95" s="770"/>
      <c r="F95" s="770"/>
      <c r="G95" s="770"/>
      <c r="H95" s="816"/>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1" t="s">
        <v>1615</v>
      </c>
      <c r="P95" s="881"/>
      <c r="Q95" s="881"/>
      <c r="R95" s="881"/>
      <c r="S95" s="881"/>
      <c r="T95" s="770" t="s">
        <v>2350</v>
      </c>
      <c r="U95" s="770"/>
      <c r="V95" s="770"/>
      <c r="W95" s="770"/>
      <c r="X95" s="770"/>
      <c r="Y95" s="923"/>
      <c r="Z95" s="773"/>
      <c r="AA95" s="776"/>
      <c r="AB95" s="773"/>
      <c r="AC95" s="773"/>
      <c r="AD95" s="773"/>
    </row>
    <row r="96" spans="1:30" ht="99" customHeight="1">
      <c r="A96" s="772"/>
      <c r="B96" s="824">
        <v>79</v>
      </c>
      <c r="C96" s="770" t="s">
        <v>1309</v>
      </c>
      <c r="D96" s="891"/>
      <c r="E96" s="770"/>
      <c r="F96" s="770"/>
      <c r="G96" s="770"/>
      <c r="H96" s="816"/>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99</v>
      </c>
      <c r="P96" s="881"/>
      <c r="Q96" s="881"/>
      <c r="R96" s="881"/>
      <c r="S96" s="881"/>
      <c r="T96" s="770" t="s">
        <v>2351</v>
      </c>
      <c r="U96" s="770"/>
      <c r="V96" s="770"/>
      <c r="W96" s="770"/>
      <c r="X96" s="770"/>
      <c r="Y96" s="923"/>
      <c r="Z96" s="773" t="s">
        <v>2352</v>
      </c>
      <c r="AA96" s="776"/>
      <c r="AB96" s="773"/>
      <c r="AC96" s="773"/>
      <c r="AD96" s="773"/>
    </row>
    <row r="97" spans="1:30" ht="63" customHeight="1">
      <c r="A97" s="772"/>
      <c r="B97" s="824">
        <v>80</v>
      </c>
      <c r="C97" s="770" t="s">
        <v>2353</v>
      </c>
      <c r="D97" s="891"/>
      <c r="E97" s="770"/>
      <c r="F97" s="770"/>
      <c r="G97" s="770"/>
      <c r="H97" s="816"/>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1632</v>
      </c>
      <c r="P97" s="881"/>
      <c r="Q97" s="881"/>
      <c r="R97" s="881"/>
      <c r="S97" s="881"/>
      <c r="T97" s="770" t="s">
        <v>2354</v>
      </c>
      <c r="U97" s="770"/>
      <c r="V97" s="770"/>
      <c r="W97" s="770"/>
      <c r="X97" s="770"/>
      <c r="Y97" s="923"/>
      <c r="Z97" s="773" t="s">
        <v>2355</v>
      </c>
      <c r="AA97" s="776"/>
      <c r="AB97" s="773"/>
      <c r="AC97" s="773"/>
      <c r="AD97" s="773"/>
    </row>
    <row r="98" spans="1:30" ht="63" customHeight="1">
      <c r="A98" s="772"/>
      <c r="B98" s="824">
        <v>81</v>
      </c>
      <c r="C98" s="770" t="s">
        <v>2356</v>
      </c>
      <c r="D98" s="891"/>
      <c r="E98" s="770"/>
      <c r="F98" s="770"/>
      <c r="G98" s="770"/>
      <c r="H98" s="816"/>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1646</v>
      </c>
      <c r="P98" s="881"/>
      <c r="Q98" s="881"/>
      <c r="R98" s="881"/>
      <c r="S98" s="881"/>
      <c r="T98" s="770" t="s">
        <v>2357</v>
      </c>
      <c r="U98" s="770"/>
      <c r="V98" s="770"/>
      <c r="W98" s="770"/>
      <c r="X98" s="770"/>
      <c r="Y98" s="923"/>
      <c r="Z98" s="773" t="s">
        <v>2355</v>
      </c>
      <c r="AA98" s="776"/>
      <c r="AB98" s="773"/>
      <c r="AC98" s="773"/>
      <c r="AD98" s="773"/>
    </row>
    <row r="99" spans="1:30" ht="90" customHeight="1">
      <c r="A99" s="772"/>
      <c r="B99" s="824">
        <v>82</v>
      </c>
      <c r="C99" s="770" t="s">
        <v>2358</v>
      </c>
      <c r="D99" s="891"/>
      <c r="E99" s="770"/>
      <c r="F99" s="770"/>
      <c r="G99" s="770"/>
      <c r="H99" s="816"/>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1" t="s">
        <v>1658</v>
      </c>
      <c r="P99" s="881"/>
      <c r="Q99" s="881"/>
      <c r="R99" s="881"/>
      <c r="S99" s="881"/>
      <c r="T99" s="770" t="s">
        <v>2359</v>
      </c>
      <c r="U99" s="770"/>
      <c r="V99" s="770"/>
      <c r="W99" s="770"/>
      <c r="X99" s="770"/>
      <c r="Y99" s="923"/>
      <c r="Z99" s="773" t="s">
        <v>718</v>
      </c>
      <c r="AA99" s="776"/>
      <c r="AB99" s="773"/>
      <c r="AC99" s="773"/>
      <c r="AD99" s="773"/>
    </row>
    <row r="100" spans="1:30" ht="27" customHeight="1">
      <c r="A100" s="772"/>
      <c r="B100" s="824">
        <v>83</v>
      </c>
      <c r="C100" s="770"/>
      <c r="D100" s="891"/>
      <c r="E100" s="770"/>
      <c r="F100" s="770"/>
      <c r="G100" s="770"/>
      <c r="H100" s="816"/>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1" t="s">
        <v>2360</v>
      </c>
      <c r="P100" s="881"/>
      <c r="Q100" s="881"/>
      <c r="R100" s="881"/>
      <c r="S100" s="881"/>
      <c r="T100" s="770" t="s">
        <v>2361</v>
      </c>
      <c r="U100" s="770"/>
      <c r="V100" s="770"/>
      <c r="W100" s="770"/>
      <c r="X100" s="770"/>
      <c r="Y100" s="923"/>
      <c r="Z100" s="773" t="s">
        <v>718</v>
      </c>
      <c r="AA100" s="776"/>
      <c r="AB100" s="773"/>
      <c r="AC100" s="773"/>
      <c r="AD100" s="773"/>
    </row>
    <row r="101" spans="1:30" ht="27" customHeight="1">
      <c r="A101" s="772"/>
      <c r="B101" s="824">
        <v>84</v>
      </c>
      <c r="C101" s="770"/>
      <c r="D101" s="891"/>
      <c r="E101" s="770"/>
      <c r="F101" s="770"/>
      <c r="G101" s="770"/>
      <c r="H101" s="816"/>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1" t="s">
        <v>2362</v>
      </c>
      <c r="P101" s="881"/>
      <c r="Q101" s="881"/>
      <c r="R101" s="881"/>
      <c r="S101" s="881"/>
      <c r="T101" s="770" t="s">
        <v>2363</v>
      </c>
      <c r="U101" s="770"/>
      <c r="V101" s="770"/>
      <c r="W101" s="770"/>
      <c r="X101" s="770"/>
      <c r="Y101" s="923"/>
      <c r="Z101" s="773" t="s">
        <v>718</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1"/>
      <c r="P102" s="881"/>
      <c r="Q102" s="881"/>
      <c r="R102" s="881"/>
      <c r="S102" s="770"/>
      <c r="T102" s="770"/>
      <c r="U102" s="770"/>
      <c r="V102" s="770"/>
      <c r="W102" s="770"/>
      <c r="X102" s="770"/>
      <c r="Y102" s="923"/>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1"/>
      <c r="P103" s="881"/>
      <c r="Q103" s="881"/>
      <c r="R103" s="881"/>
      <c r="S103" s="770"/>
      <c r="T103" s="770"/>
      <c r="U103" s="770"/>
      <c r="V103" s="770"/>
      <c r="W103" s="770"/>
      <c r="X103" s="770"/>
      <c r="Y103" s="923"/>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1"/>
      <c r="P104" s="881"/>
      <c r="Q104" s="881"/>
      <c r="R104" s="881"/>
      <c r="S104" s="770"/>
      <c r="T104" s="770"/>
      <c r="U104" s="770"/>
      <c r="V104" s="770"/>
      <c r="W104" s="770"/>
      <c r="X104" s="770"/>
      <c r="Y104" s="923"/>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1"/>
      <c r="P105" s="881"/>
      <c r="Q105" s="881"/>
      <c r="R105" s="881"/>
      <c r="S105" s="770"/>
      <c r="T105" s="770"/>
      <c r="U105" s="770"/>
      <c r="V105" s="770"/>
      <c r="W105" s="770"/>
      <c r="X105" s="770"/>
      <c r="Y105" s="923"/>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1"/>
      <c r="P106" s="881"/>
      <c r="Q106" s="881"/>
      <c r="R106" s="881"/>
      <c r="S106" s="770"/>
      <c r="T106" s="770"/>
      <c r="U106" s="770"/>
      <c r="V106" s="770"/>
      <c r="W106" s="770"/>
      <c r="X106" s="770"/>
      <c r="Y106" s="923"/>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1"/>
      <c r="P107" s="881"/>
      <c r="Q107" s="881"/>
      <c r="R107" s="881"/>
      <c r="S107" s="770"/>
      <c r="T107" s="770"/>
      <c r="U107" s="770"/>
      <c r="V107" s="770"/>
      <c r="W107" s="770"/>
      <c r="X107" s="770"/>
      <c r="Y107" s="923"/>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1"/>
      <c r="P108" s="881"/>
      <c r="Q108" s="881"/>
      <c r="R108" s="881"/>
      <c r="S108" s="770"/>
      <c r="T108" s="770"/>
      <c r="U108" s="770"/>
      <c r="V108" s="770"/>
      <c r="W108" s="770"/>
      <c r="X108" s="770"/>
      <c r="Y108" s="923"/>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1"/>
      <c r="P109" s="881"/>
      <c r="Q109" s="881"/>
      <c r="R109" s="881"/>
      <c r="S109" s="770"/>
      <c r="T109" s="770"/>
      <c r="U109" s="770"/>
      <c r="V109" s="770"/>
      <c r="W109" s="770"/>
      <c r="X109" s="770"/>
      <c r="Y109" s="923"/>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1"/>
      <c r="P110" s="881"/>
      <c r="Q110" s="881"/>
      <c r="R110" s="881"/>
      <c r="S110" s="770"/>
      <c r="T110" s="770"/>
      <c r="U110" s="770"/>
      <c r="V110" s="770"/>
      <c r="W110" s="770"/>
      <c r="X110" s="770"/>
      <c r="Y110" s="923"/>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1"/>
      <c r="P111" s="881"/>
      <c r="Q111" s="881"/>
      <c r="R111" s="881"/>
      <c r="S111" s="770"/>
      <c r="T111" s="770"/>
      <c r="U111" s="770"/>
      <c r="V111" s="770"/>
      <c r="W111" s="770"/>
      <c r="X111" s="770"/>
      <c r="Y111" s="923"/>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1"/>
      <c r="P112" s="881"/>
      <c r="Q112" s="881"/>
      <c r="R112" s="881"/>
      <c r="S112" s="770"/>
      <c r="T112" s="770"/>
      <c r="U112" s="770"/>
      <c r="V112" s="770"/>
      <c r="W112" s="770"/>
      <c r="X112" s="770"/>
      <c r="Y112" s="923"/>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1"/>
      <c r="P113" s="881"/>
      <c r="Q113" s="881"/>
      <c r="R113" s="881"/>
      <c r="S113" s="770"/>
      <c r="T113" s="770"/>
      <c r="U113" s="770"/>
      <c r="V113" s="770"/>
      <c r="W113" s="770"/>
      <c r="X113" s="770"/>
      <c r="Y113" s="923"/>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1"/>
      <c r="P114" s="881"/>
      <c r="Q114" s="881"/>
      <c r="R114" s="881"/>
      <c r="S114" s="770"/>
      <c r="T114" s="770"/>
      <c r="U114" s="770"/>
      <c r="V114" s="770"/>
      <c r="W114" s="770"/>
      <c r="X114" s="770"/>
      <c r="Y114" s="923"/>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1"/>
      <c r="P115" s="881"/>
      <c r="Q115" s="881"/>
      <c r="R115" s="881"/>
      <c r="S115" s="770"/>
      <c r="T115" s="770"/>
      <c r="U115" s="770"/>
      <c r="V115" s="770"/>
      <c r="W115" s="770"/>
      <c r="X115" s="770"/>
      <c r="Y115" s="923"/>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1"/>
      <c r="P116" s="881"/>
      <c r="Q116" s="881"/>
      <c r="R116" s="881"/>
      <c r="S116" s="770"/>
      <c r="T116" s="770"/>
      <c r="U116" s="770"/>
      <c r="V116" s="770"/>
      <c r="W116" s="770"/>
      <c r="X116" s="770"/>
      <c r="Y116" s="923"/>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1"/>
      <c r="P117" s="881"/>
      <c r="Q117" s="881"/>
      <c r="R117" s="881"/>
      <c r="S117" s="770"/>
      <c r="T117" s="770"/>
      <c r="U117" s="770"/>
      <c r="V117" s="770"/>
      <c r="W117" s="770"/>
      <c r="X117" s="770"/>
      <c r="Y117" s="923"/>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1"/>
      <c r="P118" s="881"/>
      <c r="Q118" s="881"/>
      <c r="R118" s="881"/>
      <c r="S118" s="770"/>
      <c r="T118" s="770"/>
      <c r="U118" s="770"/>
      <c r="V118" s="770"/>
      <c r="W118" s="770"/>
      <c r="X118" s="770"/>
      <c r="Y118" s="923"/>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1"/>
      <c r="P119" s="881"/>
      <c r="Q119" s="881"/>
      <c r="R119" s="881"/>
      <c r="S119" s="770"/>
      <c r="T119" s="770"/>
      <c r="U119" s="770"/>
      <c r="V119" s="770"/>
      <c r="W119" s="770"/>
      <c r="X119" s="770"/>
      <c r="Y119" s="923"/>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1"/>
      <c r="P120" s="881"/>
      <c r="Q120" s="881"/>
      <c r="R120" s="881"/>
      <c r="S120" s="770"/>
      <c r="T120" s="770"/>
      <c r="U120" s="770"/>
      <c r="V120" s="770"/>
      <c r="W120" s="770"/>
      <c r="X120" s="770"/>
      <c r="Y120" s="923"/>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1"/>
      <c r="P121" s="881"/>
      <c r="Q121" s="881"/>
      <c r="R121" s="881"/>
      <c r="S121" s="770"/>
      <c r="T121" s="770"/>
      <c r="U121" s="770"/>
      <c r="V121" s="770"/>
      <c r="W121" s="770"/>
      <c r="X121" s="770"/>
      <c r="Y121" s="923"/>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1"/>
      <c r="P122" s="881"/>
      <c r="Q122" s="881"/>
      <c r="R122" s="881"/>
      <c r="S122" s="770"/>
      <c r="T122" s="770"/>
      <c r="U122" s="770"/>
      <c r="V122" s="770"/>
      <c r="W122" s="770"/>
      <c r="X122" s="770"/>
      <c r="Y122" s="923"/>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1"/>
      <c r="P123" s="881"/>
      <c r="Q123" s="881"/>
      <c r="R123" s="881"/>
      <c r="S123" s="770"/>
      <c r="T123" s="770"/>
      <c r="U123" s="770"/>
      <c r="V123" s="770"/>
      <c r="W123" s="770"/>
      <c r="X123" s="770"/>
      <c r="Y123" s="923"/>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1"/>
      <c r="P124" s="881"/>
      <c r="Q124" s="881"/>
      <c r="R124" s="881"/>
      <c r="S124" s="770"/>
      <c r="T124" s="770"/>
      <c r="U124" s="770"/>
      <c r="V124" s="770"/>
      <c r="W124" s="770"/>
      <c r="X124" s="770"/>
      <c r="Y124" s="923"/>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1"/>
      <c r="P125" s="881"/>
      <c r="Q125" s="881"/>
      <c r="R125" s="881"/>
      <c r="S125" s="770"/>
      <c r="T125" s="770"/>
      <c r="U125" s="770"/>
      <c r="V125" s="770"/>
      <c r="W125" s="770"/>
      <c r="X125" s="770"/>
      <c r="Y125" s="923"/>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1"/>
      <c r="P126" s="881"/>
      <c r="Q126" s="881"/>
      <c r="R126" s="881"/>
      <c r="S126" s="770"/>
      <c r="T126" s="770"/>
      <c r="U126" s="770"/>
      <c r="V126" s="770"/>
      <c r="W126" s="770"/>
      <c r="X126" s="770"/>
      <c r="Y126" s="923"/>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1"/>
      <c r="P127" s="881"/>
      <c r="Q127" s="881"/>
      <c r="R127" s="881"/>
      <c r="S127" s="770"/>
      <c r="T127" s="770"/>
      <c r="U127" s="770"/>
      <c r="V127" s="770"/>
      <c r="W127" s="770"/>
      <c r="X127" s="770"/>
      <c r="Y127" s="923"/>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1"/>
      <c r="P128" s="881"/>
      <c r="Q128" s="881"/>
      <c r="R128" s="881"/>
      <c r="S128" s="770"/>
      <c r="T128" s="770"/>
      <c r="U128" s="770"/>
      <c r="V128" s="770"/>
      <c r="W128" s="770"/>
      <c r="X128" s="770"/>
      <c r="Y128" s="923"/>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1"/>
      <c r="P129" s="881"/>
      <c r="Q129" s="881"/>
      <c r="R129" s="881"/>
      <c r="S129" s="770"/>
      <c r="T129" s="770"/>
      <c r="U129" s="770"/>
      <c r="V129" s="770"/>
      <c r="W129" s="770"/>
      <c r="X129" s="770"/>
      <c r="Y129" s="923"/>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3"/>
      <c r="P130" s="883"/>
      <c r="Q130" s="883"/>
      <c r="R130" s="883"/>
      <c r="S130" s="770"/>
      <c r="T130" s="770"/>
      <c r="U130" s="770"/>
      <c r="V130" s="770"/>
      <c r="W130" s="770"/>
      <c r="X130" s="770"/>
      <c r="Y130" s="923"/>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4"/>
      <c r="P131" s="884"/>
      <c r="Q131" s="884"/>
      <c r="R131" s="884"/>
      <c r="S131" s="770"/>
      <c r="T131" s="770"/>
      <c r="U131" s="770"/>
      <c r="V131" s="770"/>
      <c r="W131" s="770"/>
      <c r="X131" s="770"/>
      <c r="Y131" s="923"/>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3"/>
      <c r="P132" s="883"/>
      <c r="Q132" s="883"/>
      <c r="R132" s="883"/>
      <c r="S132" s="770"/>
      <c r="T132" s="770"/>
      <c r="U132" s="770"/>
      <c r="V132" s="770"/>
      <c r="W132" s="770"/>
      <c r="X132" s="770"/>
      <c r="Y132" s="923"/>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4"/>
      <c r="P133" s="884"/>
      <c r="Q133" s="884"/>
      <c r="R133" s="884"/>
      <c r="S133" s="770"/>
      <c r="T133" s="770"/>
      <c r="U133" s="770"/>
      <c r="V133" s="770"/>
      <c r="W133" s="770"/>
      <c r="X133" s="770"/>
      <c r="Y133" s="923"/>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1"/>
      <c r="P134" s="881"/>
      <c r="Q134" s="881"/>
      <c r="R134" s="881"/>
      <c r="S134" s="770"/>
      <c r="T134" s="770"/>
      <c r="U134" s="770"/>
      <c r="V134" s="770"/>
      <c r="W134" s="770"/>
      <c r="X134" s="770"/>
      <c r="Y134" s="923"/>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1"/>
      <c r="P135" s="881"/>
      <c r="Q135" s="881"/>
      <c r="R135" s="881"/>
      <c r="S135" s="770"/>
      <c r="T135" s="770"/>
      <c r="U135" s="770"/>
      <c r="V135" s="770"/>
      <c r="W135" s="770"/>
      <c r="X135" s="770"/>
      <c r="Y135" s="923"/>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1"/>
      <c r="P136" s="881"/>
      <c r="Q136" s="881"/>
      <c r="R136" s="881"/>
      <c r="S136" s="770"/>
      <c r="T136" s="770"/>
      <c r="U136" s="770"/>
      <c r="V136" s="770"/>
      <c r="W136" s="770"/>
      <c r="X136" s="770"/>
      <c r="Y136" s="923"/>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5"/>
      <c r="P137" s="885"/>
      <c r="Q137" s="885"/>
      <c r="R137" s="885"/>
      <c r="S137" s="770"/>
      <c r="T137" s="770"/>
      <c r="U137" s="770"/>
      <c r="V137" s="770"/>
      <c r="W137" s="770"/>
      <c r="X137" s="770"/>
      <c r="Y137" s="923"/>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2"/>
      <c r="P138" s="882"/>
      <c r="Q138" s="882"/>
      <c r="R138" s="882"/>
      <c r="S138" s="770"/>
      <c r="T138" s="770"/>
      <c r="U138" s="770"/>
      <c r="V138" s="770"/>
      <c r="W138" s="770"/>
      <c r="X138" s="770"/>
      <c r="Y138" s="923"/>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3"/>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3"/>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3"/>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3"/>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3"/>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3"/>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3"/>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3"/>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1811</v>
      </c>
      <c r="B148" s="772"/>
      <c r="C148" s="770" t="s">
        <v>2364</v>
      </c>
      <c r="D148" s="770" t="s">
        <v>1713</v>
      </c>
      <c r="E148" s="770" t="s">
        <v>1813</v>
      </c>
      <c r="F148" s="770" t="s">
        <v>2365</v>
      </c>
      <c r="G148" s="770"/>
      <c r="H148" s="770"/>
      <c r="I148" s="887"/>
      <c r="J148" s="887"/>
      <c r="K148" s="887"/>
      <c r="L148" s="887"/>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2366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2367</v>
      </c>
      <c r="Y148" s="923"/>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1815</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3"/>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1818</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3"/>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1823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3"/>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357" hidden="1"/>
    <col min="2" max="2" width="11" style="2357" hidden="1" customWidth="1"/>
    <col min="3" max="3" width="10.5703125" style="2357" hidden="1"/>
    <col min="4" max="4" width="11.85546875" style="2357" hidden="1" customWidth="1"/>
    <col min="5" max="5" width="12.28515625" style="2357" hidden="1" customWidth="1"/>
    <col min="6" max="8" width="12.28515625" style="2336" hidden="1" customWidth="1"/>
    <col min="9" max="9" width="3" style="2392" customWidth="1"/>
    <col min="10" max="11" width="3" style="2359" customWidth="1"/>
    <col min="12" max="12" width="12" style="2387" customWidth="1"/>
    <col min="13" max="13" width="31" style="2360" customWidth="1"/>
    <col min="14" max="14" width="1" style="2360" customWidth="1"/>
    <col min="15" max="18" width="24" style="2360" customWidth="1"/>
    <col min="19" max="19" width="11" style="2360" customWidth="1"/>
    <col min="20" max="20" width="3.7109375" style="2360" customWidth="1"/>
    <col min="21" max="21" width="11" style="2360" customWidth="1"/>
    <col min="22" max="22" width="8.5703125" style="2360" customWidth="1"/>
    <col min="23" max="23" width="4" style="2360" customWidth="1"/>
    <col min="24" max="24" width="115" style="2360" customWidth="1"/>
    <col min="25" max="29" width="10" style="2344" customWidth="1"/>
    <col min="30" max="30" width="10.5703125" style="2360" hidden="1"/>
  </cols>
  <sheetData>
    <row r="1" spans="1:30" ht="22.5" hidden="1" customHeight="1">
      <c r="R1" s="264"/>
      <c r="S1" s="264"/>
      <c r="AD1" s="1071" t="s">
        <v>14</v>
      </c>
    </row>
    <row r="2" spans="1:30" ht="14.25" hidden="1" customHeight="1">
      <c r="V2" s="264"/>
      <c r="AD2" s="1071">
        <v>0</v>
      </c>
    </row>
    <row r="3" spans="1:30" ht="14.25" hidden="1" customHeight="1">
      <c r="AD3" s="1071">
        <v>0</v>
      </c>
    </row>
    <row r="4" spans="1:30" ht="14.65" customHeight="1">
      <c r="J4" s="312"/>
      <c r="K4" s="312"/>
      <c r="L4" s="1191"/>
      <c r="M4" s="299"/>
      <c r="N4" s="299"/>
      <c r="O4" s="445"/>
      <c r="P4" s="445"/>
      <c r="Q4" s="445"/>
      <c r="R4" s="445"/>
      <c r="S4" s="445"/>
      <c r="T4" s="445"/>
      <c r="U4" s="445"/>
      <c r="V4" s="445"/>
      <c r="AD4" s="1071">
        <v>14</v>
      </c>
    </row>
    <row r="5" spans="1:30" ht="67.150000000000006" customHeight="1">
      <c r="J5" s="312"/>
      <c r="K5" s="312"/>
      <c r="L5" s="2845" t="s">
        <v>2368</v>
      </c>
      <c r="M5" s="2845"/>
      <c r="N5" s="2845"/>
      <c r="O5" s="2845"/>
      <c r="P5" s="2845"/>
      <c r="Q5" s="2845"/>
      <c r="R5" s="2845"/>
      <c r="S5" s="2845"/>
      <c r="T5" s="2845"/>
      <c r="U5" s="2845"/>
      <c r="V5" s="1159"/>
      <c r="AD5" s="1071">
        <v>64</v>
      </c>
    </row>
    <row r="6" spans="1:30" ht="14.65" customHeight="1">
      <c r="J6" s="312"/>
      <c r="K6" s="312"/>
      <c r="L6" s="2846" t="str">
        <f>IF(org=0,"Не определено",org)</f>
        <v>ООО "Пятигорсктеплосервис"</v>
      </c>
      <c r="M6" s="2846"/>
      <c r="N6" s="2846"/>
      <c r="O6" s="2846"/>
      <c r="P6" s="2846"/>
      <c r="Q6" s="2846"/>
      <c r="R6" s="2846"/>
      <c r="S6" s="2846"/>
      <c r="T6" s="2846"/>
      <c r="U6" s="2846"/>
      <c r="V6" s="1159"/>
      <c r="AD6" s="1071">
        <v>14</v>
      </c>
    </row>
    <row r="7" spans="1:30" ht="14.65" customHeight="1">
      <c r="J7" s="312"/>
      <c r="K7" s="312"/>
      <c r="L7" s="1191"/>
      <c r="M7" s="299"/>
      <c r="N7" s="299"/>
      <c r="O7" s="259"/>
      <c r="P7" s="259"/>
      <c r="Q7" s="259"/>
      <c r="R7" s="259"/>
      <c r="S7" s="259"/>
      <c r="T7" s="259"/>
      <c r="U7" s="259"/>
      <c r="V7" s="259"/>
      <c r="W7" s="445"/>
      <c r="AD7" s="1071">
        <v>14</v>
      </c>
    </row>
    <row r="8" spans="1:30" s="2380" customFormat="1" ht="48.2" customHeight="1">
      <c r="A8" s="1284"/>
      <c r="B8" s="1284"/>
      <c r="C8" s="1284"/>
      <c r="D8" s="1284"/>
      <c r="E8" s="1284"/>
      <c r="F8" s="1284"/>
      <c r="G8" s="1284"/>
      <c r="H8" s="1284"/>
      <c r="L8" s="1192"/>
      <c r="M8" s="232" t="s">
        <v>41</v>
      </c>
      <c r="N8" s="241"/>
      <c r="O8" s="2556" t="str">
        <f>IF(TITLE_NAME_OR_PR_CHANGE="",IF(TITLE_NAME_OR_PR="","",TITLE_NAME_OR_PR),TITLE_NAME_OR_PR_CHANGE)</f>
        <v/>
      </c>
      <c r="P8" s="2556"/>
      <c r="Q8" s="2556"/>
      <c r="R8" s="2556"/>
      <c r="S8" s="2556"/>
      <c r="T8" s="2556"/>
      <c r="U8" s="2556"/>
      <c r="V8" s="263"/>
      <c r="W8" s="263"/>
      <c r="X8" s="217"/>
      <c r="Y8" s="304"/>
      <c r="Z8" s="304"/>
      <c r="AA8" s="304"/>
      <c r="AB8" s="304"/>
      <c r="AC8" s="304"/>
      <c r="AD8" s="354">
        <v>46</v>
      </c>
    </row>
    <row r="9" spans="1:30" s="2380" customFormat="1" ht="24" customHeight="1">
      <c r="A9" s="1284"/>
      <c r="B9" s="1284"/>
      <c r="C9" s="1284"/>
      <c r="D9" s="1284"/>
      <c r="E9" s="1284"/>
      <c r="F9" s="1284"/>
      <c r="G9" s="1284"/>
      <c r="H9" s="1284"/>
      <c r="L9" s="1192"/>
      <c r="M9" s="232" t="s">
        <v>422</v>
      </c>
      <c r="N9" s="241"/>
      <c r="O9" s="2556" t="str">
        <f>IF(TITLE_DATE_CHANGE_PERIOD="",IF(TITLE_DATE_PR="","",TITLE_DATE_PR),TITLE_DATE_CHANGE_PERIOD)</f>
        <v/>
      </c>
      <c r="P9" s="2556"/>
      <c r="Q9" s="2556"/>
      <c r="R9" s="2556"/>
      <c r="S9" s="2556"/>
      <c r="T9" s="2556"/>
      <c r="U9" s="2556"/>
      <c r="V9" s="263"/>
      <c r="W9" s="263"/>
      <c r="X9" s="217"/>
      <c r="Y9" s="304"/>
      <c r="Z9" s="304"/>
      <c r="AA9" s="304"/>
      <c r="AB9" s="304"/>
      <c r="AC9" s="304"/>
      <c r="AD9" s="354">
        <v>23</v>
      </c>
    </row>
    <row r="10" spans="1:30" s="2380" customFormat="1" ht="24" customHeight="1">
      <c r="A10" s="1284"/>
      <c r="B10" s="1284"/>
      <c r="C10" s="1284"/>
      <c r="D10" s="1284"/>
      <c r="E10" s="1284"/>
      <c r="F10" s="1284"/>
      <c r="G10" s="1284"/>
      <c r="H10" s="1284"/>
      <c r="L10" s="1166"/>
      <c r="M10" s="232" t="s">
        <v>423</v>
      </c>
      <c r="N10" s="241"/>
      <c r="O10" s="2556" t="str">
        <f>IF(TITLE_NUMBER_PR_CHANGE="",IF(TITLE_NUMBER_PR="","",TITLE_NUMBER_PR),TITLE_NUMBER_PR_CHANGE)</f>
        <v/>
      </c>
      <c r="P10" s="2556"/>
      <c r="Q10" s="2556"/>
      <c r="R10" s="2556"/>
      <c r="S10" s="2556"/>
      <c r="T10" s="2556"/>
      <c r="U10" s="2556"/>
      <c r="V10" s="263"/>
      <c r="W10" s="263"/>
      <c r="X10" s="217"/>
      <c r="Y10" s="304"/>
      <c r="Z10" s="304"/>
      <c r="AA10" s="304"/>
      <c r="AB10" s="304"/>
      <c r="AC10" s="304"/>
      <c r="AD10" s="354">
        <v>23</v>
      </c>
    </row>
    <row r="11" spans="1:30" s="2380" customFormat="1" ht="24" customHeight="1">
      <c r="A11" s="1284"/>
      <c r="B11" s="1284"/>
      <c r="C11" s="1284"/>
      <c r="D11" s="1284"/>
      <c r="E11" s="1284"/>
      <c r="F11" s="1284"/>
      <c r="G11" s="1284"/>
      <c r="H11" s="1284"/>
      <c r="L11" s="1166"/>
      <c r="M11" s="232" t="s">
        <v>42</v>
      </c>
      <c r="N11" s="241"/>
      <c r="O11" s="2556" t="str">
        <f>IF(TITLE_IST_PUB_CHANGE="",IF(TITLE_IST_PUB="","",TITLE_IST_PUB),TITLE_IST_PUB_CHANGE)</f>
        <v/>
      </c>
      <c r="P11" s="2556"/>
      <c r="Q11" s="2556"/>
      <c r="R11" s="2556"/>
      <c r="S11" s="2556"/>
      <c r="T11" s="2556"/>
      <c r="U11" s="2556"/>
      <c r="V11" s="263"/>
      <c r="W11" s="263"/>
      <c r="X11" s="217"/>
      <c r="Y11" s="304"/>
      <c r="Z11" s="304"/>
      <c r="AA11" s="304"/>
      <c r="AB11" s="304"/>
      <c r="AC11" s="304"/>
      <c r="AD11" s="354">
        <v>23</v>
      </c>
    </row>
    <row r="12" spans="1:30" s="2380" customFormat="1" ht="11.25" hidden="1" customHeight="1">
      <c r="A12" s="1284"/>
      <c r="B12" s="1284"/>
      <c r="C12" s="1284"/>
      <c r="D12" s="1284"/>
      <c r="E12" s="1284"/>
      <c r="F12" s="1284"/>
      <c r="G12" s="1284"/>
      <c r="H12" s="1284"/>
      <c r="L12" s="2844"/>
      <c r="M12" s="2844"/>
      <c r="N12" s="1203"/>
      <c r="O12" s="263"/>
      <c r="P12" s="263"/>
      <c r="Q12" s="263"/>
      <c r="R12" s="263"/>
      <c r="S12" s="263"/>
      <c r="T12" s="263"/>
      <c r="U12" s="263"/>
      <c r="V12" s="215" t="s">
        <v>426</v>
      </c>
      <c r="Y12" s="304"/>
      <c r="Z12" s="304"/>
      <c r="AA12" s="304"/>
      <c r="AB12" s="304"/>
      <c r="AC12" s="304"/>
      <c r="AD12" s="354">
        <v>0</v>
      </c>
    </row>
    <row r="13" spans="1:30" ht="14.65" customHeight="1">
      <c r="J13" s="312"/>
      <c r="K13" s="312"/>
      <c r="L13" s="1191"/>
      <c r="M13" s="299"/>
      <c r="N13" s="1160"/>
      <c r="O13" s="2575"/>
      <c r="P13" s="2575"/>
      <c r="Q13" s="2575"/>
      <c r="R13" s="2575"/>
      <c r="S13" s="2575"/>
      <c r="T13" s="2575"/>
      <c r="U13" s="2575"/>
      <c r="V13" s="2575"/>
      <c r="AD13" s="1071">
        <v>14</v>
      </c>
    </row>
    <row r="14" spans="1:30" ht="14.65" customHeight="1">
      <c r="J14" s="312"/>
      <c r="K14" s="312"/>
      <c r="L14" s="2435" t="s">
        <v>299</v>
      </c>
      <c r="M14" s="2435"/>
      <c r="N14" s="2435"/>
      <c r="O14" s="2435"/>
      <c r="P14" s="2435"/>
      <c r="Q14" s="2435"/>
      <c r="R14" s="2435"/>
      <c r="S14" s="2435"/>
      <c r="T14" s="2435"/>
      <c r="U14" s="2435"/>
      <c r="V14" s="2435"/>
      <c r="W14" s="2435"/>
      <c r="X14" s="2435" t="s">
        <v>300</v>
      </c>
      <c r="AD14" s="1071">
        <v>14</v>
      </c>
    </row>
    <row r="15" spans="1:30" ht="14.65" customHeight="1">
      <c r="J15" s="312"/>
      <c r="K15" s="312"/>
      <c r="L15" s="2576" t="s">
        <v>88</v>
      </c>
      <c r="M15" s="2524" t="s">
        <v>427</v>
      </c>
      <c r="N15" s="238"/>
      <c r="O15" s="2577" t="s">
        <v>2369</v>
      </c>
      <c r="P15" s="2578"/>
      <c r="Q15" s="2578"/>
      <c r="R15" s="2578"/>
      <c r="S15" s="2578"/>
      <c r="T15" s="2578"/>
      <c r="U15" s="2579"/>
      <c r="V15" s="2580" t="s">
        <v>429</v>
      </c>
      <c r="W15" s="2583" t="s">
        <v>1306</v>
      </c>
      <c r="X15" s="2435"/>
      <c r="AD15" s="1071">
        <v>14</v>
      </c>
    </row>
    <row r="16" spans="1:30" ht="35.65" customHeight="1">
      <c r="J16" s="312"/>
      <c r="K16" s="312"/>
      <c r="L16" s="2576"/>
      <c r="M16" s="2524"/>
      <c r="N16" s="953"/>
      <c r="O16" s="2494" t="s">
        <v>432</v>
      </c>
      <c r="P16" s="2494" t="s">
        <v>433</v>
      </c>
      <c r="Q16" s="2417" t="s">
        <v>434</v>
      </c>
      <c r="R16" s="2416"/>
      <c r="S16" s="2417" t="s">
        <v>448</v>
      </c>
      <c r="T16" s="2422"/>
      <c r="U16" s="2416"/>
      <c r="V16" s="2581"/>
      <c r="W16" s="2584"/>
      <c r="X16" s="2435"/>
      <c r="AD16" s="1071">
        <v>34</v>
      </c>
    </row>
    <row r="17" spans="1:30" ht="35.65" customHeight="1">
      <c r="A17" s="1286" t="s">
        <v>135</v>
      </c>
      <c r="B17" s="1286" t="s">
        <v>136</v>
      </c>
      <c r="C17" s="1286" t="s">
        <v>137</v>
      </c>
      <c r="D17" s="1286" t="s">
        <v>138</v>
      </c>
      <c r="E17" s="1286"/>
      <c r="J17" s="312"/>
      <c r="K17" s="312"/>
      <c r="L17" s="2576"/>
      <c r="M17" s="2524"/>
      <c r="N17" s="239"/>
      <c r="O17" s="2549"/>
      <c r="P17" s="2549"/>
      <c r="Q17" s="1138" t="s">
        <v>443</v>
      </c>
      <c r="R17" s="1138" t="s">
        <v>444</v>
      </c>
      <c r="S17" s="1208" t="s">
        <v>445</v>
      </c>
      <c r="T17" s="2529" t="s">
        <v>446</v>
      </c>
      <c r="U17" s="2543"/>
      <c r="V17" s="2582"/>
      <c r="W17" s="2585"/>
      <c r="X17" s="2435"/>
      <c r="AD17" s="1071">
        <v>34</v>
      </c>
    </row>
    <row r="18" spans="1:30" s="2335" customFormat="1" ht="11.45" customHeight="1">
      <c r="A18" s="1286"/>
      <c r="B18" s="1286"/>
      <c r="C18" s="1286"/>
      <c r="D18" s="1286"/>
      <c r="E18" s="1286"/>
      <c r="F18" s="1278"/>
      <c r="G18" s="1278"/>
      <c r="H18" s="1278"/>
      <c r="I18" s="1162"/>
      <c r="J18" s="1163"/>
      <c r="K18" s="1170">
        <v>1</v>
      </c>
      <c r="L18" s="1193" t="s">
        <v>109</v>
      </c>
      <c r="M18" s="1171" t="s">
        <v>110</v>
      </c>
      <c r="N18" s="1161" t="str">
        <f ca="1">OFFSET(N18,0,-1)</f>
        <v>2</v>
      </c>
      <c r="O18" s="1205">
        <f ca="1">OFFSET(O18,0,-1)+1</f>
        <v>3</v>
      </c>
      <c r="P18" s="1205"/>
      <c r="Q18" s="1205">
        <f ca="1">OFFSET(Q18,0,-1)+1</f>
        <v>1</v>
      </c>
      <c r="R18" s="1205">
        <f ca="1">OFFSET(R18,0,-1)+1</f>
        <v>2</v>
      </c>
      <c r="S18" s="1205">
        <f ca="1">OFFSET(S18,0,-1)+1</f>
        <v>3</v>
      </c>
      <c r="T18" s="2574">
        <f ca="1">OFFSET(T18,0,-1)+1</f>
        <v>4</v>
      </c>
      <c r="U18" s="2574"/>
      <c r="V18" s="1205">
        <f ca="1">OFFSET(V18,0,-2)+1</f>
        <v>5</v>
      </c>
      <c r="W18" s="1161">
        <f ca="1">OFFSET(W18,0,-1)</f>
        <v>5</v>
      </c>
      <c r="X18" s="1205">
        <f ca="1">OFFSET(X18,0,-1)+1</f>
        <v>6</v>
      </c>
      <c r="Y18" s="447"/>
      <c r="Z18" s="447"/>
      <c r="AA18" s="447"/>
      <c r="AB18" s="447"/>
      <c r="AC18" s="447"/>
      <c r="AD18" s="432">
        <v>11</v>
      </c>
    </row>
    <row r="19" spans="1:30" ht="21" customHeight="1">
      <c r="A19" s="1279" t="s">
        <v>169</v>
      </c>
      <c r="B19" s="1279" t="s">
        <v>170</v>
      </c>
      <c r="C19" s="1279" t="s">
        <v>171</v>
      </c>
      <c r="D19" s="1279" t="s">
        <v>172</v>
      </c>
      <c r="E19" s="1279"/>
      <c r="F19" s="1281"/>
      <c r="G19" s="1281"/>
      <c r="H19" s="1281"/>
      <c r="I19" s="297"/>
      <c r="J19" s="296"/>
      <c r="K19" s="291"/>
      <c r="L19" s="1209">
        <f>INDEX(PT_DIFFERENTIATION_NUM_NTAR,MATCH(A19,PT_DIFFERENTIATION_NTAR_ID,0))</f>
        <v>0</v>
      </c>
      <c r="M19" s="235" t="s">
        <v>124</v>
      </c>
      <c r="N19" s="237"/>
      <c r="O19" s="2843" t="str">
        <f>INDEX(PT_DIFFERENTIATION_NTAR,MATCH(A19,PT_DIFFERENTIATION_NTAR_ID,0))</f>
        <v/>
      </c>
      <c r="P19" s="2843"/>
      <c r="Q19" s="2843"/>
      <c r="R19" s="2843"/>
      <c r="S19" s="2843"/>
      <c r="T19" s="2843"/>
      <c r="U19" s="2843"/>
      <c r="V19" s="2843"/>
      <c r="W19" s="2843"/>
      <c r="X19" s="1174" t="s">
        <v>395</v>
      </c>
      <c r="Z19" s="436"/>
      <c r="AA19" s="436" t="str">
        <f t="shared" ref="AA19:AA32" si="0">IF(M19="","",M19)</f>
        <v>Наименование тарифа</v>
      </c>
      <c r="AB19" s="436"/>
      <c r="AC19" s="436"/>
      <c r="AD19" s="1071">
        <v>20</v>
      </c>
    </row>
    <row r="20" spans="1:30" ht="21" customHeight="1">
      <c r="A20" s="1279" t="s">
        <v>169</v>
      </c>
      <c r="B20" s="1279" t="s">
        <v>170</v>
      </c>
      <c r="C20" s="1279" t="s">
        <v>171</v>
      </c>
      <c r="D20" s="1279" t="s">
        <v>172</v>
      </c>
      <c r="E20" s="1279"/>
      <c r="F20" s="1281"/>
      <c r="G20" s="1281"/>
      <c r="H20" s="1281"/>
      <c r="I20" s="1206"/>
      <c r="J20" s="288"/>
      <c r="K20" s="289"/>
      <c r="L20" s="1209" t="str">
        <f>INDEX(PT_DIFFERENTIATION_NUM_TER,MATCH(B19,PT_DIFFERENTIATION_TER_ID,0))</f>
        <v>.</v>
      </c>
      <c r="M20" s="245" t="s">
        <v>396</v>
      </c>
      <c r="N20" s="237"/>
      <c r="O20" s="2843" t="str">
        <f>INDEX(PT_DIFFERENTIATION_TER,MATCH(B19,PT_DIFFERENTIATION_TER_ID,0))</f>
        <v/>
      </c>
      <c r="P20" s="2843"/>
      <c r="Q20" s="2843"/>
      <c r="R20" s="2843"/>
      <c r="S20" s="2843"/>
      <c r="T20" s="2843"/>
      <c r="U20" s="2843"/>
      <c r="V20" s="2843"/>
      <c r="W20" s="2843"/>
      <c r="X20" s="1174" t="s">
        <v>397</v>
      </c>
      <c r="Z20" s="436"/>
      <c r="AA20" s="436" t="str">
        <f t="shared" si="0"/>
        <v>Территория действия тарифа</v>
      </c>
      <c r="AB20" s="436"/>
      <c r="AC20" s="436"/>
      <c r="AD20" s="1071">
        <v>20</v>
      </c>
    </row>
    <row r="21" spans="1:30" ht="24" customHeight="1">
      <c r="A21" s="1279" t="s">
        <v>169</v>
      </c>
      <c r="B21" s="1279" t="s">
        <v>170</v>
      </c>
      <c r="C21" s="1279" t="s">
        <v>171</v>
      </c>
      <c r="D21" s="1279" t="s">
        <v>172</v>
      </c>
      <c r="E21" s="1279"/>
      <c r="F21" s="1281"/>
      <c r="G21" s="1281"/>
      <c r="H21" s="1281"/>
      <c r="I21" s="290"/>
      <c r="J21" s="288"/>
      <c r="K21" s="289"/>
      <c r="L21" s="1209" t="str">
        <f>INDEX(PT_DIFFERENTIATION_NUM_CS,MATCH(C19,PT_DIFFERENTIATION_CS_ID,0))</f>
        <v>..</v>
      </c>
      <c r="M21" s="246" t="s">
        <v>398</v>
      </c>
      <c r="N21" s="237"/>
      <c r="O21" s="2843" t="str">
        <f>INDEX(PT_DIFFERENTIATION_CS,MATCH(C19,PT_DIFFERENTIATION_CS_ID,0))</f>
        <v/>
      </c>
      <c r="P21" s="2843"/>
      <c r="Q21" s="2843"/>
      <c r="R21" s="2843"/>
      <c r="S21" s="2843"/>
      <c r="T21" s="2843"/>
      <c r="U21" s="2843"/>
      <c r="V21" s="2843"/>
      <c r="W21" s="2843"/>
      <c r="X21" s="1174" t="s">
        <v>399</v>
      </c>
      <c r="Z21" s="436"/>
      <c r="AA21" s="436" t="str">
        <f t="shared" si="0"/>
        <v xml:space="preserve">Наименование системы теплоснабжения </v>
      </c>
      <c r="AB21" s="436"/>
      <c r="AC21" s="436"/>
      <c r="AD21" s="1071">
        <v>23</v>
      </c>
    </row>
    <row r="22" spans="1:30" ht="21" customHeight="1">
      <c r="A22" s="1279" t="s">
        <v>169</v>
      </c>
      <c r="B22" s="1279" t="s">
        <v>170</v>
      </c>
      <c r="C22" s="1279" t="s">
        <v>171</v>
      </c>
      <c r="D22" s="1279" t="s">
        <v>172</v>
      </c>
      <c r="E22" s="1279"/>
      <c r="F22" s="1281"/>
      <c r="G22" s="1281"/>
      <c r="H22" s="1281"/>
      <c r="I22" s="290"/>
      <c r="J22" s="288"/>
      <c r="K22" s="289"/>
      <c r="L22" s="1209" t="str">
        <f>INDEX(PT_DIFFERENTIATION_NUM_IST_TE,MATCH(D19,PT_DIFFERENTIATION_IST_TE_ID,0))</f>
        <v>...</v>
      </c>
      <c r="M22" s="247" t="s">
        <v>400</v>
      </c>
      <c r="N22" s="237"/>
      <c r="O22" s="2843" t="str">
        <f>INDEX(PT_DIFFERENTIATION_IST_TE,MATCH(D19,PT_DIFFERENTIATION_IST_TE_ID,0))</f>
        <v/>
      </c>
      <c r="P22" s="2843"/>
      <c r="Q22" s="2843"/>
      <c r="R22" s="2843"/>
      <c r="S22" s="2843"/>
      <c r="T22" s="2843"/>
      <c r="U22" s="2843"/>
      <c r="V22" s="2843"/>
      <c r="W22" s="2843"/>
      <c r="X22" s="1174" t="s">
        <v>401</v>
      </c>
      <c r="Z22" s="436"/>
      <c r="AA22" s="436" t="str">
        <f t="shared" si="0"/>
        <v xml:space="preserve">Источник тепловой энергии  </v>
      </c>
      <c r="AB22" s="436"/>
      <c r="AC22" s="436"/>
      <c r="AD22" s="1071">
        <v>20</v>
      </c>
    </row>
    <row r="23" spans="1:30" ht="96.75" customHeight="1">
      <c r="A23" s="1279" t="s">
        <v>169</v>
      </c>
      <c r="B23" s="1279" t="s">
        <v>170</v>
      </c>
      <c r="C23" s="1279" t="s">
        <v>171</v>
      </c>
      <c r="D23" s="1279" t="s">
        <v>172</v>
      </c>
      <c r="E23" s="1279"/>
      <c r="F23" s="2541" t="str">
        <f>L22&amp;".1"</f>
        <v>....1</v>
      </c>
      <c r="I23" s="2567">
        <v>1</v>
      </c>
      <c r="J23" s="1207"/>
      <c r="K23" s="292"/>
      <c r="L23" s="1209" t="str">
        <f>$F$23</f>
        <v>....1</v>
      </c>
      <c r="M23" s="222" t="s">
        <v>403</v>
      </c>
      <c r="N23" s="237"/>
      <c r="O23" s="2597"/>
      <c r="P23" s="2597"/>
      <c r="Q23" s="2597"/>
      <c r="R23" s="2597"/>
      <c r="S23" s="2597"/>
      <c r="T23" s="2597"/>
      <c r="U23" s="2597"/>
      <c r="V23" s="2597"/>
      <c r="W23" s="2597"/>
      <c r="X23" s="1174" t="s">
        <v>404</v>
      </c>
      <c r="Z23" s="436"/>
      <c r="AA23" s="436" t="str">
        <f t="shared" si="0"/>
        <v>Схема подключения теплопотребляющей установки к коллектору источника тепловой энергии</v>
      </c>
      <c r="AB23" s="436"/>
      <c r="AC23" s="436"/>
      <c r="AD23" s="1071">
        <v>92</v>
      </c>
    </row>
    <row r="24" spans="1:30" ht="86.25" customHeight="1">
      <c r="A24" s="1279" t="s">
        <v>169</v>
      </c>
      <c r="B24" s="1279" t="s">
        <v>170</v>
      </c>
      <c r="C24" s="1279" t="s">
        <v>171</v>
      </c>
      <c r="D24" s="1279" t="s">
        <v>172</v>
      </c>
      <c r="E24" s="1279"/>
      <c r="F24" s="2541"/>
      <c r="G24" s="2541" t="str">
        <f>F23&amp;".1"</f>
        <v>....1.1</v>
      </c>
      <c r="I24" s="2567"/>
      <c r="J24" s="2567">
        <v>1</v>
      </c>
      <c r="K24" s="293"/>
      <c r="L24" s="1209" t="str">
        <f>$G$24</f>
        <v>....1.1</v>
      </c>
      <c r="M24" s="223" t="s">
        <v>406</v>
      </c>
      <c r="N24" s="237"/>
      <c r="O24" s="2551"/>
      <c r="P24" s="2552"/>
      <c r="Q24" s="2552"/>
      <c r="R24" s="2552"/>
      <c r="S24" s="2552"/>
      <c r="T24" s="2552"/>
      <c r="U24" s="2552"/>
      <c r="V24" s="2552"/>
      <c r="W24" s="2553"/>
      <c r="X24" s="1174" t="s">
        <v>407</v>
      </c>
      <c r="Z24" s="436"/>
      <c r="AA24" s="436" t="str">
        <f t="shared" si="0"/>
        <v>Группа потребителей</v>
      </c>
      <c r="AB24" s="436"/>
      <c r="AC24" s="436"/>
      <c r="AD24" s="1071">
        <v>82</v>
      </c>
    </row>
    <row r="25" spans="1:30" ht="11.45" customHeight="1">
      <c r="A25" s="1279" t="s">
        <v>169</v>
      </c>
      <c r="B25" s="1279" t="s">
        <v>170</v>
      </c>
      <c r="C25" s="1279" t="s">
        <v>171</v>
      </c>
      <c r="D25" s="1279" t="s">
        <v>172</v>
      </c>
      <c r="E25" s="1279"/>
      <c r="F25" s="2541"/>
      <c r="G25" s="2541"/>
      <c r="H25" s="2541" t="str">
        <f>G24&amp;".1"</f>
        <v>....1.1.1</v>
      </c>
      <c r="I25" s="2567"/>
      <c r="J25" s="2567"/>
      <c r="K25" s="293">
        <v>1</v>
      </c>
      <c r="L25" s="1209" t="str">
        <f>$H$25</f>
        <v>....1.1.1</v>
      </c>
      <c r="M25" s="1263"/>
      <c r="N25" s="237"/>
      <c r="O25" s="687"/>
      <c r="P25" s="262"/>
      <c r="Q25" s="687"/>
      <c r="R25" s="1173"/>
      <c r="S25" s="2568"/>
      <c r="T25" s="2445" t="s">
        <v>62</v>
      </c>
      <c r="U25" s="2568"/>
      <c r="V25" s="2445" t="s">
        <v>19</v>
      </c>
      <c r="W25" s="262"/>
      <c r="X25" s="2586" t="s">
        <v>409</v>
      </c>
      <c r="Y25" s="447" t="e">
        <f ca="1">STRCHECKDATE(O26:W26)</f>
        <v>#NAME?</v>
      </c>
      <c r="Z25" s="436"/>
      <c r="AA25" s="436" t="str">
        <f t="shared" si="0"/>
        <v/>
      </c>
      <c r="AB25" s="436"/>
      <c r="AC25" s="436"/>
      <c r="AD25" s="1071">
        <v>11</v>
      </c>
    </row>
    <row r="26" spans="1:30" ht="11.45" customHeight="1">
      <c r="A26" s="1279" t="s">
        <v>169</v>
      </c>
      <c r="B26" s="1279" t="s">
        <v>170</v>
      </c>
      <c r="C26" s="1279" t="s">
        <v>171</v>
      </c>
      <c r="D26" s="1279" t="s">
        <v>172</v>
      </c>
      <c r="E26" s="1279"/>
      <c r="F26" s="2541"/>
      <c r="G26" s="2541"/>
      <c r="H26" s="2541"/>
      <c r="I26" s="2567"/>
      <c r="J26" s="2567"/>
      <c r="K26" s="293"/>
      <c r="L26" s="1210"/>
      <c r="M26" s="237"/>
      <c r="N26" s="237"/>
      <c r="O26" s="262"/>
      <c r="P26" s="262"/>
      <c r="Q26" s="262"/>
      <c r="R26" s="265" t="str">
        <f>S25&amp;"-"&amp;U25</f>
        <v>-</v>
      </c>
      <c r="S26" s="2569"/>
      <c r="T26" s="2445"/>
      <c r="U26" s="2569"/>
      <c r="V26" s="2445"/>
      <c r="W26" s="262"/>
      <c r="X26" s="2587"/>
      <c r="Z26" s="436"/>
      <c r="AA26" s="436" t="str">
        <f t="shared" si="0"/>
        <v/>
      </c>
      <c r="AB26" s="436"/>
      <c r="AC26" s="436"/>
      <c r="AD26" s="1071">
        <v>11</v>
      </c>
    </row>
    <row r="27" spans="1:30" ht="15.75" customHeight="1">
      <c r="A27" s="1279" t="s">
        <v>169</v>
      </c>
      <c r="B27" s="1279" t="s">
        <v>170</v>
      </c>
      <c r="C27" s="1279" t="s">
        <v>171</v>
      </c>
      <c r="D27" s="1279" t="s">
        <v>172</v>
      </c>
      <c r="E27" s="1279"/>
      <c r="F27" s="2541"/>
      <c r="G27" s="2541"/>
      <c r="I27" s="2567"/>
      <c r="J27" s="2567"/>
      <c r="K27" s="292"/>
      <c r="L27" s="1194"/>
      <c r="M27" s="225" t="s">
        <v>410</v>
      </c>
      <c r="N27" s="303"/>
      <c r="O27" s="303"/>
      <c r="P27" s="303"/>
      <c r="Q27" s="303"/>
      <c r="R27" s="303"/>
      <c r="S27" s="303"/>
      <c r="T27" s="303"/>
      <c r="U27" s="303"/>
      <c r="V27" s="303"/>
      <c r="W27" s="261"/>
      <c r="X27" s="2588"/>
      <c r="Z27" s="436"/>
      <c r="AA27" s="436" t="str">
        <f t="shared" si="0"/>
        <v>Добавить вид теплоносителя (параметры теплоносителя)</v>
      </c>
      <c r="AB27" s="436"/>
      <c r="AC27" s="436"/>
      <c r="AD27" s="1071">
        <v>15</v>
      </c>
    </row>
    <row r="28" spans="1:30" ht="15.75" customHeight="1">
      <c r="A28" s="1279" t="s">
        <v>169</v>
      </c>
      <c r="B28" s="1279" t="s">
        <v>170</v>
      </c>
      <c r="C28" s="1279" t="s">
        <v>171</v>
      </c>
      <c r="D28" s="1279" t="s">
        <v>172</v>
      </c>
      <c r="E28" s="1279"/>
      <c r="F28" s="2541"/>
      <c r="I28" s="2567"/>
      <c r="J28" s="1207"/>
      <c r="K28" s="292"/>
      <c r="L28" s="119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71">
        <v>15</v>
      </c>
    </row>
    <row r="29" spans="1:30" ht="14.65" customHeight="1">
      <c r="A29" s="1279" t="s">
        <v>169</v>
      </c>
      <c r="B29" s="1279" t="s">
        <v>170</v>
      </c>
      <c r="C29" s="1279" t="s">
        <v>171</v>
      </c>
      <c r="D29" s="1279" t="s">
        <v>172</v>
      </c>
      <c r="E29" s="1279"/>
      <c r="F29" s="1281"/>
      <c r="G29" s="1281"/>
      <c r="H29" s="473"/>
      <c r="I29" s="296"/>
      <c r="J29" s="311"/>
      <c r="K29" s="291"/>
      <c r="L29" s="119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71">
        <v>14</v>
      </c>
    </row>
    <row r="30" spans="1:30" ht="14.65" customHeight="1">
      <c r="A30" s="1279" t="s">
        <v>169</v>
      </c>
      <c r="B30" s="1279" t="s">
        <v>170</v>
      </c>
      <c r="C30" s="1279" t="s">
        <v>171</v>
      </c>
      <c r="D30" s="1279"/>
      <c r="E30" s="1279" t="s">
        <v>671</v>
      </c>
      <c r="F30" s="1281"/>
      <c r="G30" s="1281"/>
      <c r="H30" s="473"/>
      <c r="I30" s="296"/>
      <c r="J30" s="311"/>
      <c r="K30" s="291"/>
      <c r="L30" s="1195"/>
      <c r="M30" s="1184"/>
      <c r="N30" s="1185"/>
      <c r="O30" s="1185"/>
      <c r="P30" s="1185"/>
      <c r="Q30" s="1185"/>
      <c r="R30" s="1185"/>
      <c r="S30" s="1185"/>
      <c r="T30" s="1185"/>
      <c r="U30" s="1185"/>
      <c r="V30" s="1186"/>
      <c r="W30" s="1185"/>
      <c r="X30" s="1187"/>
      <c r="Z30" s="436"/>
      <c r="AA30" s="436" t="str">
        <f t="shared" si="0"/>
        <v/>
      </c>
      <c r="AB30" s="436"/>
      <c r="AC30" s="436"/>
      <c r="AD30" s="1071">
        <v>14</v>
      </c>
    </row>
    <row r="31" spans="1:30" ht="14.65" customHeight="1">
      <c r="A31" s="1279" t="s">
        <v>169</v>
      </c>
      <c r="B31" s="1279" t="s">
        <v>170</v>
      </c>
      <c r="C31" s="1279"/>
      <c r="D31" s="1279"/>
      <c r="E31" s="1279" t="s">
        <v>2370</v>
      </c>
      <c r="F31" s="1433"/>
      <c r="G31" s="1433"/>
      <c r="H31" s="473"/>
      <c r="I31" s="294"/>
      <c r="J31" s="311"/>
      <c r="K31" s="295"/>
      <c r="L31" s="1195"/>
      <c r="M31" s="1188"/>
      <c r="N31" s="1185"/>
      <c r="O31" s="1185"/>
      <c r="P31" s="1185"/>
      <c r="Q31" s="1185"/>
      <c r="R31" s="1185"/>
      <c r="S31" s="1185"/>
      <c r="T31" s="1185"/>
      <c r="U31" s="1185"/>
      <c r="V31" s="1186"/>
      <c r="W31" s="1185"/>
      <c r="X31" s="1187"/>
      <c r="Z31" s="436"/>
      <c r="AA31" s="436" t="str">
        <f t="shared" si="0"/>
        <v/>
      </c>
      <c r="AB31" s="436"/>
      <c r="AC31" s="436"/>
      <c r="AD31" s="1071">
        <v>14</v>
      </c>
    </row>
    <row r="32" spans="1:30" ht="14.65" customHeight="1">
      <c r="A32" s="1279" t="s">
        <v>2371</v>
      </c>
      <c r="B32" s="1279"/>
      <c r="C32" s="1279"/>
      <c r="D32" s="1279"/>
      <c r="E32" s="1279" t="s">
        <v>104</v>
      </c>
      <c r="F32" s="1433"/>
      <c r="G32" s="1433"/>
      <c r="H32" s="473"/>
      <c r="I32" s="296"/>
      <c r="J32" s="311"/>
      <c r="K32" s="291"/>
      <c r="L32" s="1195"/>
      <c r="M32" s="1189"/>
      <c r="N32" s="1185"/>
      <c r="O32" s="1185"/>
      <c r="P32" s="1185"/>
      <c r="Q32" s="1185"/>
      <c r="R32" s="1185"/>
      <c r="S32" s="1185"/>
      <c r="T32" s="1185"/>
      <c r="U32" s="1185"/>
      <c r="V32" s="1186"/>
      <c r="W32" s="1185"/>
      <c r="X32" s="1187"/>
      <c r="Z32" s="436"/>
      <c r="AA32" s="436" t="str">
        <f t="shared" si="0"/>
        <v/>
      </c>
      <c r="AB32" s="436"/>
      <c r="AC32" s="436"/>
      <c r="AD32" s="1071">
        <v>14</v>
      </c>
    </row>
    <row r="33" spans="1:30" s="2398" customFormat="1" ht="11.45" customHeight="1">
      <c r="A33" s="1279"/>
      <c r="B33" s="1279"/>
      <c r="C33" s="1279"/>
      <c r="D33" s="1279"/>
      <c r="E33" s="1279" t="s">
        <v>447</v>
      </c>
      <c r="F33" s="1434"/>
      <c r="G33" s="1435"/>
      <c r="H33" s="473"/>
      <c r="L33" s="1196"/>
      <c r="M33" s="1190"/>
      <c r="N33" s="1185"/>
      <c r="O33" s="1185"/>
      <c r="P33" s="1185"/>
      <c r="Q33" s="1185"/>
      <c r="R33" s="1185"/>
      <c r="S33" s="1185"/>
      <c r="T33" s="1185"/>
      <c r="U33" s="1185"/>
      <c r="V33" s="1186"/>
      <c r="W33" s="1185"/>
      <c r="X33" s="1187"/>
      <c r="Y33" s="315"/>
      <c r="Z33" s="315"/>
      <c r="AA33" s="315"/>
      <c r="AB33" s="315"/>
      <c r="AC33" s="315"/>
      <c r="AD33" s="309">
        <v>11</v>
      </c>
    </row>
    <row r="34" spans="1:30" ht="11.45" customHeight="1">
      <c r="F34" s="1076"/>
      <c r="G34" s="1076"/>
      <c r="H34" s="473"/>
      <c r="I34" s="1071"/>
      <c r="J34" s="1071"/>
      <c r="K34" s="1071"/>
      <c r="Y34" s="1071"/>
      <c r="Z34" s="1071"/>
      <c r="AA34" s="1071"/>
      <c r="AB34" s="1071"/>
      <c r="AC34" s="1071"/>
      <c r="AD34" s="1071">
        <v>11</v>
      </c>
    </row>
    <row r="35" spans="1:30" ht="28.5" customHeight="1">
      <c r="H35" s="473"/>
      <c r="L35" s="1204" t="s">
        <v>909</v>
      </c>
      <c r="M35" s="2562" t="s">
        <v>2372</v>
      </c>
      <c r="N35" s="2562"/>
      <c r="O35" s="2562"/>
      <c r="P35" s="2562"/>
      <c r="Q35" s="2562"/>
      <c r="R35" s="2562"/>
      <c r="S35" s="2562"/>
      <c r="T35" s="2562"/>
      <c r="U35" s="2562"/>
      <c r="V35" s="2562"/>
      <c r="W35" s="2562"/>
      <c r="X35" s="2562"/>
      <c r="AD35" s="1071">
        <v>27</v>
      </c>
    </row>
    <row r="36" spans="1:30" ht="109.15" customHeight="1">
      <c r="H36" s="473"/>
      <c r="I36" s="1219"/>
      <c r="M36" s="2562" t="s">
        <v>2373</v>
      </c>
      <c r="N36" s="2562"/>
      <c r="O36" s="2562"/>
      <c r="P36" s="2562"/>
      <c r="Q36" s="2562"/>
      <c r="R36" s="2562"/>
      <c r="S36" s="2562"/>
      <c r="T36" s="2562"/>
      <c r="U36" s="2562"/>
      <c r="V36" s="2562"/>
      <c r="W36" s="2562"/>
      <c r="X36" s="2562"/>
      <c r="AD36" s="1071">
        <v>104</v>
      </c>
    </row>
    <row r="37" spans="1:30" ht="14.65" customHeight="1">
      <c r="H37" s="473"/>
      <c r="AD37" s="1071">
        <v>14</v>
      </c>
    </row>
    <row r="38" spans="1:30" ht="14.65" customHeight="1">
      <c r="H38" s="473"/>
      <c r="AD38" s="1071">
        <v>14</v>
      </c>
    </row>
    <row r="39" spans="1:30" ht="14.65" customHeight="1">
      <c r="H39" s="473"/>
      <c r="AD39" s="1071">
        <v>14</v>
      </c>
    </row>
    <row r="40" spans="1:30" ht="14.65" customHeight="1">
      <c r="H40" s="473"/>
      <c r="AD40" s="1071">
        <v>14</v>
      </c>
    </row>
    <row r="41" spans="1:30" ht="22.5" hidden="1" customHeight="1">
      <c r="A41" s="1076" t="s">
        <v>82</v>
      </c>
      <c r="B41" s="1076">
        <v>0</v>
      </c>
      <c r="C41" s="1076">
        <v>0</v>
      </c>
      <c r="D41" s="1076">
        <v>0</v>
      </c>
      <c r="E41" s="1076">
        <v>0</v>
      </c>
      <c r="F41" s="1278">
        <v>0</v>
      </c>
      <c r="G41" s="1278">
        <v>0</v>
      </c>
      <c r="H41" s="1278">
        <v>0</v>
      </c>
      <c r="I41" s="1202">
        <v>3</v>
      </c>
      <c r="J41" s="281">
        <v>3</v>
      </c>
      <c r="K41" s="281">
        <v>3</v>
      </c>
      <c r="L41" s="517">
        <v>12</v>
      </c>
      <c r="M41" s="1071">
        <v>31</v>
      </c>
      <c r="N41" s="1071">
        <v>1</v>
      </c>
      <c r="O41" s="1071">
        <v>24</v>
      </c>
      <c r="P41" s="1071">
        <v>24</v>
      </c>
      <c r="Q41" s="1071">
        <v>24</v>
      </c>
      <c r="R41" s="1071">
        <v>24</v>
      </c>
      <c r="S41" s="1071">
        <v>11</v>
      </c>
      <c r="T41" s="1071">
        <v>3</v>
      </c>
      <c r="U41" s="1071">
        <v>11</v>
      </c>
      <c r="V41" s="1071">
        <v>8</v>
      </c>
      <c r="W41" s="1071">
        <v>4</v>
      </c>
      <c r="X41" s="1071">
        <v>115</v>
      </c>
      <c r="Y41" s="447">
        <v>10</v>
      </c>
      <c r="Z41" s="447">
        <v>10</v>
      </c>
      <c r="AA41" s="447">
        <v>10</v>
      </c>
      <c r="AB41" s="447">
        <v>10</v>
      </c>
      <c r="AC41" s="447">
        <v>10</v>
      </c>
      <c r="AD41" s="107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372" hidden="1" customWidth="1"/>
    <col min="2" max="2" width="15" style="2327" hidden="1" customWidth="1"/>
    <col min="3" max="3" width="3" style="2329" customWidth="1"/>
    <col min="4" max="4" width="6" style="2330" customWidth="1"/>
    <col min="5" max="5" width="52" style="2329" customWidth="1"/>
    <col min="6" max="6" width="48" style="2329" customWidth="1"/>
    <col min="7" max="7" width="121" style="2329" customWidth="1"/>
    <col min="8" max="8" width="8" style="2329" customWidth="1"/>
    <col min="9" max="9" width="64" style="2329" customWidth="1"/>
    <col min="10" max="10" width="9.140625" style="2329" hidden="1"/>
  </cols>
  <sheetData>
    <row r="1" spans="1:10" ht="11.25" hidden="1" customHeight="1">
      <c r="A1" s="1602" t="s">
        <v>298</v>
      </c>
      <c r="J1" s="391" t="s">
        <v>14</v>
      </c>
    </row>
    <row r="2" spans="1:10" ht="11.25" hidden="1" customHeight="1">
      <c r="J2" s="391">
        <v>0</v>
      </c>
    </row>
    <row r="3" spans="1:10" s="2326" customFormat="1" ht="11.45" customHeight="1">
      <c r="A3" s="1602"/>
      <c r="B3" s="437"/>
      <c r="D3" s="414"/>
      <c r="J3" s="413">
        <v>11</v>
      </c>
    </row>
    <row r="4" spans="1:10" ht="27.4" customHeight="1">
      <c r="D4" s="24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86"/>
      <c r="F4" s="2487"/>
      <c r="I4" s="651"/>
      <c r="J4" s="391">
        <v>26</v>
      </c>
    </row>
    <row r="5" spans="1:10" ht="18" customHeight="1">
      <c r="D5" s="2516" t="str">
        <f>IF(org=0,"Не определено",org)</f>
        <v>ООО "Пятигорсктеплосервис"</v>
      </c>
      <c r="E5" s="2516"/>
      <c r="F5" s="2516"/>
      <c r="I5" s="651"/>
      <c r="J5" s="391">
        <v>17</v>
      </c>
    </row>
    <row r="6" spans="1:10" s="2326" customFormat="1" ht="11.45" customHeight="1">
      <c r="A6" s="1602"/>
      <c r="B6" s="437"/>
      <c r="D6" s="650"/>
      <c r="E6" s="650"/>
      <c r="F6" s="688"/>
      <c r="G6" s="650"/>
      <c r="J6" s="413">
        <v>11</v>
      </c>
    </row>
    <row r="7" spans="1:10" ht="11.25" hidden="1" customHeight="1">
      <c r="A7" s="393"/>
      <c r="B7" s="438"/>
      <c r="C7" s="393"/>
      <c r="D7" s="399"/>
      <c r="E7" s="2522"/>
      <c r="F7" s="2522"/>
      <c r="J7" s="391">
        <v>0</v>
      </c>
    </row>
    <row r="8" spans="1:10" ht="11.45" customHeight="1">
      <c r="A8" s="393"/>
      <c r="B8" s="438"/>
      <c r="C8" s="393"/>
      <c r="D8" s="2519" t="s">
        <v>299</v>
      </c>
      <c r="E8" s="2520"/>
      <c r="F8" s="2520"/>
      <c r="G8" s="2523" t="s">
        <v>300</v>
      </c>
      <c r="J8" s="391">
        <v>11</v>
      </c>
    </row>
    <row r="9" spans="1:10" ht="11.45" customHeight="1">
      <c r="A9" s="393"/>
      <c r="B9" s="438"/>
      <c r="C9" s="393"/>
      <c r="D9" s="408" t="s">
        <v>88</v>
      </c>
      <c r="E9" s="382" t="s">
        <v>301</v>
      </c>
      <c r="F9" s="382" t="s">
        <v>302</v>
      </c>
      <c r="G9" s="2524"/>
      <c r="J9" s="391">
        <v>11</v>
      </c>
    </row>
    <row r="10" spans="1:10" ht="12" hidden="1" customHeight="1">
      <c r="A10" s="393"/>
      <c r="B10" s="438"/>
      <c r="C10" s="393"/>
      <c r="D10" s="400"/>
      <c r="E10" s="400"/>
      <c r="F10" s="400"/>
      <c r="G10" s="400"/>
      <c r="J10" s="391">
        <v>0</v>
      </c>
    </row>
    <row r="11" spans="1:10" ht="22.5" hidden="1" customHeight="1">
      <c r="A11" s="393"/>
      <c r="B11" s="438"/>
      <c r="C11" s="393"/>
      <c r="D11" s="931" t="s">
        <v>109</v>
      </c>
      <c r="E11" s="934" t="s">
        <v>303</v>
      </c>
      <c r="F11" s="933" t="str">
        <f>IF(region_name="","",region_name)</f>
        <v>Ставропольский край</v>
      </c>
      <c r="G11" s="934"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1" t="s">
        <v>306</v>
      </c>
      <c r="E14" s="932" t="s">
        <v>307</v>
      </c>
      <c r="F14" s="933" t="str">
        <f>IF(inn="","",inn)</f>
        <v>2632062277</v>
      </c>
      <c r="G14" s="934" t="s">
        <v>308</v>
      </c>
      <c r="H14" s="411"/>
      <c r="J14" s="391">
        <v>0</v>
      </c>
    </row>
    <row r="15" spans="1:10" ht="22.5" hidden="1" customHeight="1">
      <c r="A15" s="393"/>
      <c r="B15" s="438"/>
      <c r="C15" s="393"/>
      <c r="D15" s="931" t="s">
        <v>309</v>
      </c>
      <c r="E15" s="932" t="s">
        <v>310</v>
      </c>
      <c r="F15" s="933" t="str">
        <f>IF(kpp="","",kpp)</f>
        <v>263201001</v>
      </c>
      <c r="G15" s="934"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4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17" t="s">
        <v>312</v>
      </c>
      <c r="B19" s="438"/>
      <c r="C19" s="2528"/>
      <c r="D19" s="381" t="str">
        <f>A19</f>
        <v>5.1</v>
      </c>
      <c r="E19" s="378" t="s">
        <v>313</v>
      </c>
      <c r="F19" s="379" t="s">
        <v>305</v>
      </c>
      <c r="G19" s="380" t="s">
        <v>314</v>
      </c>
      <c r="H19" s="411"/>
      <c r="I19" s="778"/>
      <c r="J19" s="391">
        <v>0</v>
      </c>
    </row>
    <row r="20" spans="1:10" ht="24" hidden="1" customHeight="1">
      <c r="A20" s="2517"/>
      <c r="B20" s="438"/>
      <c r="C20" s="2528"/>
      <c r="D20" s="376" t="str">
        <f>D19&amp;".1"</f>
        <v>5.1.1</v>
      </c>
      <c r="E20" s="375" t="s">
        <v>315</v>
      </c>
      <c r="F20" s="806" t="s">
        <v>22</v>
      </c>
      <c r="G20" s="410"/>
      <c r="H20" s="411"/>
      <c r="I20" s="778"/>
      <c r="J20" s="391">
        <v>0</v>
      </c>
    </row>
    <row r="21" spans="1:10" ht="22.5" hidden="1" customHeight="1">
      <c r="A21" s="2517"/>
      <c r="B21" s="438"/>
      <c r="C21" s="2528"/>
      <c r="D21" s="376" t="str">
        <f>D19&amp;".2"</f>
        <v>5.1.2</v>
      </c>
      <c r="E21" s="375" t="s">
        <v>316</v>
      </c>
      <c r="F21" s="1648" t="s">
        <v>22</v>
      </c>
      <c r="G21" s="380" t="s">
        <v>317</v>
      </c>
      <c r="H21" s="411"/>
      <c r="I21" s="778"/>
      <c r="J21" s="391">
        <v>0</v>
      </c>
    </row>
    <row r="22" spans="1:10" ht="22.5" hidden="1" customHeight="1">
      <c r="A22" s="2517"/>
      <c r="B22" s="438"/>
      <c r="C22" s="2528"/>
      <c r="D22" s="376" t="str">
        <f>D19&amp;".3"</f>
        <v>5.1.3</v>
      </c>
      <c r="E22" s="375" t="s">
        <v>318</v>
      </c>
      <c r="F22" s="806" t="s">
        <v>22</v>
      </c>
      <c r="G22" s="410"/>
      <c r="H22" s="411"/>
      <c r="I22" s="778"/>
      <c r="J22" s="391">
        <v>0</v>
      </c>
    </row>
    <row r="23" spans="1:10" ht="22.5" hidden="1" customHeight="1">
      <c r="A23" s="2517"/>
      <c r="B23" s="438"/>
      <c r="C23" s="2528"/>
      <c r="D23" s="376" t="str">
        <f>D19&amp;".4"</f>
        <v>5.1.4</v>
      </c>
      <c r="E23" s="375" t="s">
        <v>319</v>
      </c>
      <c r="F23" s="806" t="s">
        <v>22</v>
      </c>
      <c r="G23" s="380" t="s">
        <v>320</v>
      </c>
      <c r="H23" s="411"/>
      <c r="I23" s="778"/>
      <c r="J23" s="391">
        <v>0</v>
      </c>
    </row>
    <row r="24" spans="1:10" ht="22.5" hidden="1" customHeight="1">
      <c r="A24" s="1887"/>
      <c r="B24" s="438"/>
      <c r="C24" s="428"/>
      <c r="D24" s="403"/>
      <c r="E24" s="1084" t="s">
        <v>321</v>
      </c>
      <c r="F24" s="404"/>
      <c r="G24" s="405"/>
      <c r="H24" s="411"/>
      <c r="I24" s="778"/>
      <c r="J24" s="391">
        <v>0</v>
      </c>
    </row>
    <row r="25" spans="1:10" s="2327" customFormat="1" ht="24.75" hidden="1" customHeight="1">
      <c r="A25" s="393"/>
      <c r="B25" s="438"/>
      <c r="C25" s="438"/>
      <c r="D25" s="928" t="s">
        <v>90</v>
      </c>
      <c r="E25" s="930" t="s">
        <v>322</v>
      </c>
      <c r="F25" s="935" t="s">
        <v>305</v>
      </c>
      <c r="G25" s="930"/>
      <c r="J25" s="437">
        <v>0</v>
      </c>
    </row>
    <row r="26" spans="1:10" s="2327" customFormat="1" ht="11.25" hidden="1" customHeight="1">
      <c r="A26" s="393"/>
      <c r="B26" s="438"/>
      <c r="C26" s="438"/>
      <c r="D26" s="928" t="s">
        <v>323</v>
      </c>
      <c r="E26" s="929" t="s">
        <v>324</v>
      </c>
      <c r="F26" s="935" t="s">
        <v>305</v>
      </c>
      <c r="G26" s="930"/>
      <c r="J26" s="437">
        <v>0</v>
      </c>
    </row>
    <row r="27" spans="1:10" s="2327" customFormat="1" ht="11.25" hidden="1" customHeight="1">
      <c r="A27" s="393"/>
      <c r="B27" s="438"/>
      <c r="C27" s="438"/>
      <c r="D27" s="928" t="s">
        <v>325</v>
      </c>
      <c r="E27" s="936" t="s">
        <v>326</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327" customFormat="1" ht="11.25" hidden="1" customHeight="1">
      <c r="A28" s="393"/>
      <c r="B28" s="438"/>
      <c r="C28" s="438"/>
      <c r="D28" s="928" t="s">
        <v>327</v>
      </c>
      <c r="E28" s="936" t="s">
        <v>328</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327" customFormat="1" ht="11.25" hidden="1" customHeight="1">
      <c r="A29" s="393"/>
      <c r="B29" s="438"/>
      <c r="C29" s="438"/>
      <c r="D29" s="928" t="s">
        <v>329</v>
      </c>
      <c r="E29" s="936" t="s">
        <v>330</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327" customFormat="1" ht="11.25" hidden="1" customHeight="1">
      <c r="A30" s="393"/>
      <c r="B30" s="438"/>
      <c r="C30" s="438"/>
      <c r="D30" s="928" t="s">
        <v>331</v>
      </c>
      <c r="E30" s="929" t="s">
        <v>332</v>
      </c>
      <c r="F30" s="937"/>
      <c r="G30" s="930"/>
      <c r="J30" s="437">
        <v>0</v>
      </c>
    </row>
    <row r="31" spans="1:10" s="2327" customFormat="1" ht="11.25" hidden="1" customHeight="1">
      <c r="A31" s="393"/>
      <c r="B31" s="438"/>
      <c r="C31" s="438"/>
      <c r="D31" s="928" t="s">
        <v>333</v>
      </c>
      <c r="E31" s="929" t="s">
        <v>334</v>
      </c>
      <c r="F31" s="937"/>
      <c r="G31" s="930"/>
      <c r="J31" s="437">
        <v>0</v>
      </c>
    </row>
    <row r="32" spans="1:10" s="2327" customFormat="1" ht="11.25" hidden="1" customHeight="1">
      <c r="A32" s="393"/>
      <c r="B32" s="438"/>
      <c r="C32" s="438"/>
      <c r="D32" s="928" t="s">
        <v>335</v>
      </c>
      <c r="E32" s="929" t="s">
        <v>336</v>
      </c>
      <c r="F32" s="938"/>
      <c r="G32" s="930"/>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52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1"/>
      <c r="F40" s="806"/>
      <c r="G40" s="2526"/>
      <c r="H40" s="411"/>
      <c r="J40" s="391">
        <v>0</v>
      </c>
    </row>
    <row r="41" spans="1:10" ht="23.25" customHeight="1">
      <c r="A41" s="393"/>
      <c r="B41" s="393"/>
      <c r="C41" s="1604"/>
      <c r="D41" s="376" t="str">
        <f>D39&amp;".1"</f>
        <v>9.1</v>
      </c>
      <c r="E41" s="786"/>
      <c r="F41" s="787"/>
      <c r="G41" s="2526"/>
      <c r="H41" s="411"/>
      <c r="J41" s="391">
        <v>22</v>
      </c>
    </row>
    <row r="42" spans="1:10" ht="15.75" customHeight="1">
      <c r="A42" s="393"/>
      <c r="B42" s="438"/>
      <c r="C42" s="393"/>
      <c r="D42" s="403"/>
      <c r="E42" s="351" t="s">
        <v>338</v>
      </c>
      <c r="F42" s="405"/>
      <c r="G42" s="252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0"/>
      <c r="G46" s="373" t="s">
        <v>341</v>
      </c>
      <c r="H46" s="411"/>
      <c r="J46" s="391">
        <v>23</v>
      </c>
    </row>
    <row r="47" spans="1:10" ht="24" customHeight="1">
      <c r="A47" s="2517"/>
      <c r="B47" s="438"/>
      <c r="C47" s="428"/>
      <c r="D47" s="376" t="str">
        <f>D45&amp;".2"</f>
        <v>12.2</v>
      </c>
      <c r="E47" s="378" t="s">
        <v>342</v>
      </c>
      <c r="F47" s="426"/>
      <c r="G47" s="373" t="s">
        <v>343</v>
      </c>
      <c r="H47" s="411"/>
      <c r="J47" s="391">
        <v>23</v>
      </c>
    </row>
    <row r="48" spans="1:10" ht="24" customHeight="1">
      <c r="A48" s="2517"/>
      <c r="B48" s="438"/>
      <c r="C48" s="428"/>
      <c r="D48" s="376" t="str">
        <f>D45&amp;".3"</f>
        <v>12.3</v>
      </c>
      <c r="E48" s="378" t="s">
        <v>344</v>
      </c>
      <c r="F48" s="426"/>
      <c r="G48" s="373" t="s">
        <v>345</v>
      </c>
      <c r="H48" s="411"/>
      <c r="J48" s="391">
        <v>23</v>
      </c>
    </row>
    <row r="49" spans="1:10" ht="24" customHeight="1">
      <c r="A49" s="2517"/>
      <c r="B49" s="438"/>
      <c r="C49" s="428"/>
      <c r="D49" s="376" t="str">
        <f>IF(TEMPLATE_SPHERE="TKO",D45&amp;".0",D45&amp;".4")</f>
        <v>12.4</v>
      </c>
      <c r="E49" s="372" t="s">
        <v>346</v>
      </c>
      <c r="F49" s="1601"/>
      <c r="G49" s="1677" t="s">
        <v>347</v>
      </c>
      <c r="H49" s="411"/>
      <c r="J49" s="391">
        <v>23</v>
      </c>
    </row>
    <row r="50" spans="1:10" ht="24" customHeight="1">
      <c r="A50" s="393"/>
      <c r="B50" s="438"/>
      <c r="C50" s="393"/>
      <c r="D50" s="403"/>
      <c r="E50" s="351" t="s">
        <v>348</v>
      </c>
      <c r="F50" s="404"/>
      <c r="G50" s="1677" t="s">
        <v>349</v>
      </c>
      <c r="H50" s="412"/>
      <c r="J50" s="391">
        <v>23</v>
      </c>
    </row>
    <row r="51" spans="1:10" ht="24" customHeight="1">
      <c r="A51" s="784"/>
      <c r="B51" s="438"/>
      <c r="C51" s="428"/>
      <c r="D51" s="376">
        <f>D45+1</f>
        <v>13</v>
      </c>
      <c r="E51" s="464" t="s">
        <v>350</v>
      </c>
      <c r="F51" s="426"/>
      <c r="G51" s="16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328" customFormat="1" ht="31.5" customHeight="1">
      <c r="A53" s="1603"/>
      <c r="B53" s="439"/>
      <c r="C53" s="2518"/>
      <c r="D53" s="252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21"/>
      <c r="F53" s="2521"/>
      <c r="G53" s="2521"/>
      <c r="H53" s="390"/>
      <c r="I53" s="390"/>
      <c r="J53" s="396">
        <v>30</v>
      </c>
    </row>
    <row r="54" spans="1:10" s="2328" customFormat="1" ht="42" customHeight="1">
      <c r="A54" s="393"/>
      <c r="B54" s="438"/>
      <c r="C54" s="2518"/>
      <c r="D54" s="252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21"/>
      <c r="F54" s="2521"/>
      <c r="G54" s="252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398" customWidth="1"/>
    <col min="2" max="2" width="8.7109375" style="2398" customWidth="1"/>
    <col min="3" max="3" width="18.140625" style="2398" customWidth="1"/>
    <col min="4" max="4" width="12.5703125" style="2398" customWidth="1"/>
  </cols>
  <sheetData>
    <row r="1" spans="1:5" ht="11.25" customHeight="1">
      <c r="A1" s="1998" t="s">
        <v>2374</v>
      </c>
      <c r="B1" s="1999" t="s">
        <v>2375</v>
      </c>
      <c r="C1" s="2847" t="s">
        <v>2376</v>
      </c>
      <c r="D1" s="2848"/>
      <c r="E1" s="766" t="s">
        <v>2377</v>
      </c>
    </row>
    <row r="2" spans="1:5" ht="11.25" customHeight="1">
      <c r="A2" s="2000"/>
      <c r="B2" s="699" t="s">
        <v>27</v>
      </c>
      <c r="C2" s="689"/>
      <c r="D2" s="698"/>
      <c r="E2" s="766"/>
    </row>
    <row r="3" spans="1:5" ht="11.25" customHeight="1">
      <c r="A3" s="2001"/>
      <c r="B3" s="2002" t="s">
        <v>33</v>
      </c>
      <c r="C3" s="689"/>
      <c r="D3" s="698"/>
      <c r="E3" s="766"/>
    </row>
    <row r="4" spans="1:5" ht="11.25" customHeight="1">
      <c r="A4" s="2003"/>
      <c r="B4" s="700" t="s">
        <v>1811</v>
      </c>
      <c r="C4" s="689"/>
      <c r="D4" s="698"/>
      <c r="E4" s="766"/>
    </row>
    <row r="5" spans="1:5" ht="11.25" customHeight="1">
      <c r="A5" s="2004"/>
      <c r="B5" s="700" t="s">
        <v>1806</v>
      </c>
      <c r="C5" s="2005" t="s">
        <v>2144</v>
      </c>
      <c r="D5" s="2006" t="s">
        <v>2378</v>
      </c>
      <c r="E5" s="766"/>
    </row>
    <row r="6" spans="1:5" s="2398" customFormat="1" ht="11.25" customHeight="1">
      <c r="A6" s="2007"/>
      <c r="B6" s="700" t="s">
        <v>1815</v>
      </c>
      <c r="C6" s="689"/>
      <c r="D6" s="698"/>
      <c r="E6" s="766"/>
    </row>
    <row r="7" spans="1:5" ht="11.25" customHeight="1">
      <c r="A7" s="2008"/>
      <c r="B7" s="700" t="s">
        <v>1823</v>
      </c>
      <c r="C7" s="689"/>
      <c r="D7" s="698"/>
      <c r="E7" s="766"/>
    </row>
    <row r="8" spans="1:5" ht="11.25" customHeight="1">
      <c r="A8" s="691"/>
      <c r="B8" s="700" t="s">
        <v>1818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250"/>
  <sheetViews>
    <sheetView showGridLines="0" workbookViewId="0"/>
  </sheetViews>
  <sheetFormatPr defaultColWidth="9.140625" defaultRowHeight="11.25" customHeight="1"/>
  <cols>
    <col min="1" max="2" width="9.140625" style="2398"/>
    <col min="3" max="3" width="20.7109375" style="2398" customWidth="1"/>
    <col min="4" max="4" width="25.140625" style="2398" customWidth="1"/>
    <col min="5" max="9" width="9.140625" style="2398"/>
  </cols>
  <sheetData>
    <row r="1" spans="1:9" ht="11.25" customHeight="1">
      <c r="A1" s="8" t="s">
        <v>2379</v>
      </c>
      <c r="B1" s="8" t="s">
        <v>2380</v>
      </c>
      <c r="C1" s="8" t="s">
        <v>2381</v>
      </c>
      <c r="D1" s="8" t="s">
        <v>2382</v>
      </c>
      <c r="E1" s="8" t="s">
        <v>2383</v>
      </c>
      <c r="F1" s="8" t="s">
        <v>2384</v>
      </c>
      <c r="G1" s="8" t="s">
        <v>2385</v>
      </c>
      <c r="H1" s="8" t="s">
        <v>2386</v>
      </c>
      <c r="I1" s="8" t="s">
        <v>2387</v>
      </c>
    </row>
    <row r="2" spans="1:9" ht="11.25" customHeight="1">
      <c r="A2" s="2040" t="s">
        <v>2388</v>
      </c>
      <c r="B2" s="2040" t="s">
        <v>16</v>
      </c>
      <c r="C2" s="2040" t="s">
        <v>2389</v>
      </c>
      <c r="D2" s="2040" t="s">
        <v>2390</v>
      </c>
      <c r="E2" s="2040" t="s">
        <v>2391</v>
      </c>
      <c r="F2" s="2040" t="s">
        <v>2392</v>
      </c>
      <c r="G2" s="2040" t="s">
        <v>2393</v>
      </c>
      <c r="H2" s="2040" t="s">
        <v>22</v>
      </c>
      <c r="I2" s="2040" t="s">
        <v>913</v>
      </c>
    </row>
    <row r="3" spans="1:9" ht="11.25" customHeight="1">
      <c r="A3" s="2040" t="s">
        <v>2388</v>
      </c>
      <c r="B3" s="2040" t="s">
        <v>16</v>
      </c>
      <c r="C3" s="2040" t="s">
        <v>2394</v>
      </c>
      <c r="D3" s="2040" t="s">
        <v>2395</v>
      </c>
      <c r="E3" s="2040" t="s">
        <v>2396</v>
      </c>
      <c r="F3" s="2040" t="s">
        <v>2397</v>
      </c>
      <c r="G3" s="2040" t="s">
        <v>2398</v>
      </c>
      <c r="H3" s="2040" t="s">
        <v>22</v>
      </c>
      <c r="I3" s="2040" t="s">
        <v>913</v>
      </c>
    </row>
    <row r="4" spans="1:9" ht="11.25" customHeight="1">
      <c r="A4" s="2040" t="s">
        <v>2388</v>
      </c>
      <c r="B4" s="2040" t="s">
        <v>16</v>
      </c>
      <c r="C4" s="2040" t="s">
        <v>2399</v>
      </c>
      <c r="D4" s="2040" t="s">
        <v>2400</v>
      </c>
      <c r="E4" s="2040" t="s">
        <v>2401</v>
      </c>
      <c r="F4" s="2040" t="s">
        <v>2397</v>
      </c>
      <c r="G4" s="2040" t="s">
        <v>2402</v>
      </c>
      <c r="H4" s="2040" t="s">
        <v>22</v>
      </c>
      <c r="I4" s="2040" t="s">
        <v>913</v>
      </c>
    </row>
    <row r="5" spans="1:9" ht="11.25" customHeight="1">
      <c r="A5" s="2040" t="s">
        <v>2388</v>
      </c>
      <c r="B5" s="2040" t="s">
        <v>16</v>
      </c>
      <c r="C5" s="2040" t="s">
        <v>2403</v>
      </c>
      <c r="D5" s="2040" t="s">
        <v>2404</v>
      </c>
      <c r="E5" s="2040" t="s">
        <v>2405</v>
      </c>
      <c r="F5" s="2040" t="s">
        <v>50</v>
      </c>
      <c r="G5" s="2040" t="s">
        <v>2406</v>
      </c>
      <c r="H5" s="2040" t="s">
        <v>22</v>
      </c>
      <c r="I5" s="2040" t="s">
        <v>913</v>
      </c>
    </row>
    <row r="6" spans="1:9" ht="11.25" customHeight="1">
      <c r="A6" s="2040" t="s">
        <v>2388</v>
      </c>
      <c r="B6" s="2040" t="s">
        <v>16</v>
      </c>
      <c r="C6" s="2040" t="s">
        <v>2407</v>
      </c>
      <c r="D6" s="2040" t="s">
        <v>2408</v>
      </c>
      <c r="E6" s="2040" t="s">
        <v>2409</v>
      </c>
      <c r="F6" s="2040" t="s">
        <v>2410</v>
      </c>
      <c r="G6" s="2040" t="s">
        <v>22</v>
      </c>
      <c r="H6" s="2040" t="s">
        <v>22</v>
      </c>
      <c r="I6" s="2040" t="s">
        <v>913</v>
      </c>
    </row>
    <row r="7" spans="1:9" ht="11.25" customHeight="1">
      <c r="A7" s="2040" t="s">
        <v>2388</v>
      </c>
      <c r="B7" s="2040" t="s">
        <v>16</v>
      </c>
      <c r="C7" s="2040" t="s">
        <v>2411</v>
      </c>
      <c r="D7" s="2040" t="s">
        <v>2412</v>
      </c>
      <c r="E7" s="2040" t="s">
        <v>2413</v>
      </c>
      <c r="F7" s="2040" t="s">
        <v>2414</v>
      </c>
      <c r="G7" s="2040" t="s">
        <v>22</v>
      </c>
      <c r="H7" s="2040" t="s">
        <v>22</v>
      </c>
      <c r="I7" s="2040" t="s">
        <v>913</v>
      </c>
    </row>
    <row r="8" spans="1:9" ht="11.25" customHeight="1">
      <c r="A8" s="2040" t="s">
        <v>2388</v>
      </c>
      <c r="B8" s="2040" t="s">
        <v>16</v>
      </c>
      <c r="C8" s="2040" t="s">
        <v>2415</v>
      </c>
      <c r="D8" s="2040" t="s">
        <v>2416</v>
      </c>
      <c r="E8" s="2040" t="s">
        <v>2417</v>
      </c>
      <c r="F8" s="2040" t="s">
        <v>2418</v>
      </c>
      <c r="G8" s="2040" t="s">
        <v>2419</v>
      </c>
      <c r="H8" s="2040" t="s">
        <v>22</v>
      </c>
      <c r="I8" s="2040" t="s">
        <v>913</v>
      </c>
    </row>
    <row r="9" spans="1:9" ht="11.25" customHeight="1">
      <c r="A9" s="2040" t="s">
        <v>2388</v>
      </c>
      <c r="B9" s="2040" t="s">
        <v>16</v>
      </c>
      <c r="C9" s="2040" t="s">
        <v>2420</v>
      </c>
      <c r="D9" s="2040" t="s">
        <v>2421</v>
      </c>
      <c r="E9" s="2040" t="s">
        <v>2422</v>
      </c>
      <c r="F9" s="2040" t="s">
        <v>2392</v>
      </c>
      <c r="G9" s="2040" t="s">
        <v>2423</v>
      </c>
      <c r="H9" s="2040" t="s">
        <v>22</v>
      </c>
      <c r="I9" s="2040" t="s">
        <v>913</v>
      </c>
    </row>
    <row r="10" spans="1:9" ht="11.25" customHeight="1">
      <c r="A10" s="2040" t="s">
        <v>2388</v>
      </c>
      <c r="B10" s="2040" t="s">
        <v>16</v>
      </c>
      <c r="C10" s="2040" t="s">
        <v>2424</v>
      </c>
      <c r="D10" s="2040" t="s">
        <v>2425</v>
      </c>
      <c r="E10" s="2040" t="s">
        <v>2426</v>
      </c>
      <c r="F10" s="2040" t="s">
        <v>2397</v>
      </c>
      <c r="G10" s="2040" t="s">
        <v>22</v>
      </c>
      <c r="H10" s="2040" t="s">
        <v>22</v>
      </c>
      <c r="I10" s="2040" t="s">
        <v>913</v>
      </c>
    </row>
    <row r="11" spans="1:9" ht="11.25" customHeight="1">
      <c r="A11" s="2040" t="s">
        <v>2388</v>
      </c>
      <c r="B11" s="2040" t="s">
        <v>16</v>
      </c>
      <c r="C11" s="2040" t="s">
        <v>2427</v>
      </c>
      <c r="D11" s="2040" t="s">
        <v>2428</v>
      </c>
      <c r="E11" s="2040" t="s">
        <v>2429</v>
      </c>
      <c r="F11" s="2040" t="s">
        <v>2430</v>
      </c>
      <c r="G11" s="2040" t="s">
        <v>2431</v>
      </c>
      <c r="H11" s="2040" t="s">
        <v>22</v>
      </c>
      <c r="I11" s="2040" t="s">
        <v>913</v>
      </c>
    </row>
    <row r="12" spans="1:9" ht="11.25" customHeight="1">
      <c r="A12" s="2040" t="s">
        <v>2388</v>
      </c>
      <c r="B12" s="2040" t="s">
        <v>16</v>
      </c>
      <c r="C12" s="2040" t="s">
        <v>2432</v>
      </c>
      <c r="D12" s="2040" t="s">
        <v>2433</v>
      </c>
      <c r="E12" s="2040" t="s">
        <v>2434</v>
      </c>
      <c r="F12" s="2040" t="s">
        <v>2435</v>
      </c>
      <c r="G12" s="2040" t="s">
        <v>2436</v>
      </c>
      <c r="H12" s="2040" t="s">
        <v>22</v>
      </c>
      <c r="I12" s="2040" t="s">
        <v>913</v>
      </c>
    </row>
    <row r="13" spans="1:9" ht="11.25" customHeight="1">
      <c r="A13" s="2040" t="s">
        <v>2388</v>
      </c>
      <c r="B13" s="2040" t="s">
        <v>16</v>
      </c>
      <c r="C13" s="2040" t="s">
        <v>2437</v>
      </c>
      <c r="D13" s="2040" t="s">
        <v>2438</v>
      </c>
      <c r="E13" s="2040" t="s">
        <v>2439</v>
      </c>
      <c r="F13" s="2040" t="s">
        <v>2440</v>
      </c>
      <c r="G13" s="2040" t="s">
        <v>2441</v>
      </c>
      <c r="H13" s="2040" t="s">
        <v>22</v>
      </c>
      <c r="I13" s="2040" t="s">
        <v>913</v>
      </c>
    </row>
    <row r="14" spans="1:9" ht="11.25" customHeight="1">
      <c r="A14" s="2040" t="s">
        <v>2388</v>
      </c>
      <c r="B14" s="2040" t="s">
        <v>16</v>
      </c>
      <c r="C14" s="2040" t="s">
        <v>2442</v>
      </c>
      <c r="D14" s="2040" t="s">
        <v>2443</v>
      </c>
      <c r="E14" s="2040" t="s">
        <v>2444</v>
      </c>
      <c r="F14" s="2040" t="s">
        <v>2445</v>
      </c>
      <c r="G14" s="2040" t="s">
        <v>22</v>
      </c>
      <c r="H14" s="2040" t="s">
        <v>22</v>
      </c>
      <c r="I14" s="2040" t="s">
        <v>913</v>
      </c>
    </row>
    <row r="15" spans="1:9" ht="11.25" customHeight="1">
      <c r="A15" s="2040" t="s">
        <v>2388</v>
      </c>
      <c r="B15" s="2040" t="s">
        <v>16</v>
      </c>
      <c r="C15" s="2040" t="s">
        <v>2446</v>
      </c>
      <c r="D15" s="2040" t="s">
        <v>2447</v>
      </c>
      <c r="E15" s="2040" t="s">
        <v>2448</v>
      </c>
      <c r="F15" s="2040" t="s">
        <v>2449</v>
      </c>
      <c r="G15" s="2040" t="s">
        <v>2450</v>
      </c>
      <c r="H15" s="2040" t="s">
        <v>22</v>
      </c>
      <c r="I15" s="2040" t="s">
        <v>913</v>
      </c>
    </row>
    <row r="16" spans="1:9" ht="11.25" customHeight="1">
      <c r="A16" s="2040" t="s">
        <v>2388</v>
      </c>
      <c r="B16" s="2040" t="s">
        <v>16</v>
      </c>
      <c r="C16" s="2040" t="s">
        <v>2451</v>
      </c>
      <c r="D16" s="2040" t="s">
        <v>2452</v>
      </c>
      <c r="E16" s="2040" t="s">
        <v>2453</v>
      </c>
      <c r="F16" s="2040" t="s">
        <v>2454</v>
      </c>
      <c r="G16" s="2040" t="s">
        <v>2455</v>
      </c>
      <c r="H16" s="2040" t="s">
        <v>22</v>
      </c>
      <c r="I16" s="2040" t="s">
        <v>913</v>
      </c>
    </row>
    <row r="17" spans="1:9" ht="11.25" customHeight="1">
      <c r="A17" s="2040" t="s">
        <v>2388</v>
      </c>
      <c r="B17" s="2040" t="s">
        <v>16</v>
      </c>
      <c r="C17" s="2040" t="s">
        <v>2456</v>
      </c>
      <c r="D17" s="2040" t="s">
        <v>2457</v>
      </c>
      <c r="E17" s="2040" t="s">
        <v>2458</v>
      </c>
      <c r="F17" s="2040" t="s">
        <v>2418</v>
      </c>
      <c r="G17" s="2040" t="s">
        <v>2459</v>
      </c>
      <c r="H17" s="2040" t="s">
        <v>22</v>
      </c>
      <c r="I17" s="2040" t="s">
        <v>913</v>
      </c>
    </row>
    <row r="18" spans="1:9" ht="11.25" customHeight="1">
      <c r="A18" s="2040" t="s">
        <v>2388</v>
      </c>
      <c r="B18" s="2040" t="s">
        <v>16</v>
      </c>
      <c r="C18" s="2040" t="s">
        <v>2460</v>
      </c>
      <c r="D18" s="2040" t="s">
        <v>2461</v>
      </c>
      <c r="E18" s="2040" t="s">
        <v>2462</v>
      </c>
      <c r="F18" s="2040" t="s">
        <v>50</v>
      </c>
      <c r="G18" s="2040" t="s">
        <v>2463</v>
      </c>
      <c r="H18" s="2040" t="s">
        <v>22</v>
      </c>
      <c r="I18" s="2040" t="s">
        <v>913</v>
      </c>
    </row>
    <row r="19" spans="1:9" ht="11.25" customHeight="1">
      <c r="A19" s="2040" t="s">
        <v>2388</v>
      </c>
      <c r="B19" s="2040" t="s">
        <v>16</v>
      </c>
      <c r="C19" s="2040" t="s">
        <v>2464</v>
      </c>
      <c r="D19" s="2040" t="s">
        <v>2465</v>
      </c>
      <c r="E19" s="2040" t="s">
        <v>2466</v>
      </c>
      <c r="F19" s="2040" t="s">
        <v>2430</v>
      </c>
      <c r="G19" s="2040" t="s">
        <v>2467</v>
      </c>
      <c r="H19" s="2040" t="s">
        <v>22</v>
      </c>
      <c r="I19" s="2040" t="s">
        <v>913</v>
      </c>
    </row>
    <row r="20" spans="1:9" ht="11.25" customHeight="1">
      <c r="A20" s="2040" t="s">
        <v>2388</v>
      </c>
      <c r="B20" s="2040" t="s">
        <v>16</v>
      </c>
      <c r="C20" s="2040" t="s">
        <v>2468</v>
      </c>
      <c r="D20" s="2040" t="s">
        <v>2469</v>
      </c>
      <c r="E20" s="2040" t="s">
        <v>2470</v>
      </c>
      <c r="F20" s="2040" t="s">
        <v>2430</v>
      </c>
      <c r="G20" s="2040" t="s">
        <v>2471</v>
      </c>
      <c r="H20" s="2040" t="s">
        <v>22</v>
      </c>
      <c r="I20" s="2040" t="s">
        <v>913</v>
      </c>
    </row>
    <row r="21" spans="1:9" ht="11.25" customHeight="1">
      <c r="A21" s="2040" t="s">
        <v>2388</v>
      </c>
      <c r="B21" s="2040" t="s">
        <v>16</v>
      </c>
      <c r="C21" s="2040" t="s">
        <v>2472</v>
      </c>
      <c r="D21" s="2040" t="s">
        <v>2473</v>
      </c>
      <c r="E21" s="2040" t="s">
        <v>2474</v>
      </c>
      <c r="F21" s="2040" t="s">
        <v>2418</v>
      </c>
      <c r="G21" s="2040" t="s">
        <v>2475</v>
      </c>
      <c r="H21" s="2040" t="s">
        <v>22</v>
      </c>
      <c r="I21" s="2040" t="s">
        <v>913</v>
      </c>
    </row>
    <row r="22" spans="1:9" ht="11.25" customHeight="1">
      <c r="A22" s="2040" t="s">
        <v>2388</v>
      </c>
      <c r="B22" s="2040" t="s">
        <v>16</v>
      </c>
      <c r="C22" s="2040" t="s">
        <v>2476</v>
      </c>
      <c r="D22" s="2040" t="s">
        <v>2477</v>
      </c>
      <c r="E22" s="2040" t="s">
        <v>2478</v>
      </c>
      <c r="F22" s="2040" t="s">
        <v>2479</v>
      </c>
      <c r="G22" s="2040" t="s">
        <v>2480</v>
      </c>
      <c r="H22" s="2040" t="s">
        <v>22</v>
      </c>
      <c r="I22" s="2040" t="s">
        <v>913</v>
      </c>
    </row>
    <row r="23" spans="1:9" ht="11.25" customHeight="1">
      <c r="A23" s="2040" t="s">
        <v>2388</v>
      </c>
      <c r="B23" s="2040" t="s">
        <v>16</v>
      </c>
      <c r="C23" s="2040" t="s">
        <v>2481</v>
      </c>
      <c r="D23" s="2040" t="s">
        <v>2482</v>
      </c>
      <c r="E23" s="2040" t="s">
        <v>2483</v>
      </c>
      <c r="F23" s="2040" t="s">
        <v>2484</v>
      </c>
      <c r="G23" s="2040" t="s">
        <v>2485</v>
      </c>
      <c r="H23" s="2040" t="s">
        <v>22</v>
      </c>
      <c r="I23" s="2040" t="s">
        <v>913</v>
      </c>
    </row>
    <row r="24" spans="1:9" ht="11.25" customHeight="1">
      <c r="A24" s="2040" t="s">
        <v>2388</v>
      </c>
      <c r="B24" s="2040" t="s">
        <v>16</v>
      </c>
      <c r="C24" s="2040" t="s">
        <v>2486</v>
      </c>
      <c r="D24" s="2040" t="s">
        <v>2487</v>
      </c>
      <c r="E24" s="2040" t="s">
        <v>2488</v>
      </c>
      <c r="F24" s="2040" t="s">
        <v>578</v>
      </c>
      <c r="G24" s="2040" t="s">
        <v>2489</v>
      </c>
      <c r="H24" s="2040" t="s">
        <v>22</v>
      </c>
      <c r="I24" s="2040" t="s">
        <v>913</v>
      </c>
    </row>
    <row r="25" spans="1:9" ht="11.25" customHeight="1">
      <c r="A25" s="2040" t="s">
        <v>2388</v>
      </c>
      <c r="B25" s="2040" t="s">
        <v>16</v>
      </c>
      <c r="C25" s="2040" t="s">
        <v>2490</v>
      </c>
      <c r="D25" s="2040" t="s">
        <v>2491</v>
      </c>
      <c r="E25" s="2040" t="s">
        <v>2492</v>
      </c>
      <c r="F25" s="2040" t="s">
        <v>578</v>
      </c>
      <c r="G25" s="2040" t="s">
        <v>2493</v>
      </c>
      <c r="H25" s="2040" t="s">
        <v>22</v>
      </c>
      <c r="I25" s="2040" t="s">
        <v>913</v>
      </c>
    </row>
    <row r="26" spans="1:9" ht="11.25" customHeight="1">
      <c r="A26" s="2040" t="s">
        <v>2388</v>
      </c>
      <c r="B26" s="2040" t="s">
        <v>16</v>
      </c>
      <c r="C26" s="2040" t="s">
        <v>2494</v>
      </c>
      <c r="D26" s="2040" t="s">
        <v>2495</v>
      </c>
      <c r="E26" s="2040" t="s">
        <v>2496</v>
      </c>
      <c r="F26" s="2040" t="s">
        <v>578</v>
      </c>
      <c r="G26" s="2040" t="s">
        <v>2497</v>
      </c>
      <c r="H26" s="2040" t="s">
        <v>22</v>
      </c>
      <c r="I26" s="2040" t="s">
        <v>913</v>
      </c>
    </row>
    <row r="27" spans="1:9" ht="11.25" customHeight="1">
      <c r="A27" s="2040" t="s">
        <v>2388</v>
      </c>
      <c r="B27" s="2040" t="s">
        <v>16</v>
      </c>
      <c r="C27" s="2040" t="s">
        <v>2498</v>
      </c>
      <c r="D27" s="2040" t="s">
        <v>2499</v>
      </c>
      <c r="E27" s="2040" t="s">
        <v>2500</v>
      </c>
      <c r="F27" s="2040" t="s">
        <v>578</v>
      </c>
      <c r="G27" s="2040" t="s">
        <v>2501</v>
      </c>
      <c r="H27" s="2040" t="s">
        <v>22</v>
      </c>
      <c r="I27" s="2040" t="s">
        <v>913</v>
      </c>
    </row>
    <row r="28" spans="1:9" ht="11.25" customHeight="1">
      <c r="A28" s="2040" t="s">
        <v>2388</v>
      </c>
      <c r="B28" s="2040" t="s">
        <v>16</v>
      </c>
      <c r="C28" s="2040" t="s">
        <v>2502</v>
      </c>
      <c r="D28" s="2040" t="s">
        <v>2503</v>
      </c>
      <c r="E28" s="2040" t="s">
        <v>2483</v>
      </c>
      <c r="F28" s="2040" t="s">
        <v>2504</v>
      </c>
      <c r="G28" s="2040" t="s">
        <v>2485</v>
      </c>
      <c r="H28" s="2040" t="s">
        <v>22</v>
      </c>
      <c r="I28" s="2040" t="s">
        <v>913</v>
      </c>
    </row>
    <row r="29" spans="1:9" ht="11.25" customHeight="1">
      <c r="A29" s="2040" t="s">
        <v>2388</v>
      </c>
      <c r="B29" s="2040" t="s">
        <v>16</v>
      </c>
      <c r="C29" s="2040" t="s">
        <v>2505</v>
      </c>
      <c r="D29" s="2040" t="s">
        <v>2506</v>
      </c>
      <c r="E29" s="2040" t="s">
        <v>2507</v>
      </c>
      <c r="F29" s="2040" t="s">
        <v>50</v>
      </c>
      <c r="G29" s="2040" t="s">
        <v>2508</v>
      </c>
      <c r="H29" s="2040" t="s">
        <v>22</v>
      </c>
      <c r="I29" s="2040" t="s">
        <v>913</v>
      </c>
    </row>
    <row r="30" spans="1:9" ht="11.25" customHeight="1">
      <c r="A30" s="2040" t="s">
        <v>2388</v>
      </c>
      <c r="B30" s="2040" t="s">
        <v>16</v>
      </c>
      <c r="C30" s="2040" t="s">
        <v>2509</v>
      </c>
      <c r="D30" s="2040" t="s">
        <v>2510</v>
      </c>
      <c r="E30" s="2040" t="s">
        <v>2511</v>
      </c>
      <c r="F30" s="2040" t="s">
        <v>50</v>
      </c>
      <c r="G30" s="2040" t="s">
        <v>2512</v>
      </c>
      <c r="H30" s="2040" t="s">
        <v>22</v>
      </c>
      <c r="I30" s="2040" t="s">
        <v>913</v>
      </c>
    </row>
    <row r="31" spans="1:9" ht="11.25" customHeight="1">
      <c r="A31" s="2040" t="s">
        <v>2388</v>
      </c>
      <c r="B31" s="2040" t="s">
        <v>16</v>
      </c>
      <c r="C31" s="2040" t="s">
        <v>2513</v>
      </c>
      <c r="D31" s="2040" t="s">
        <v>2514</v>
      </c>
      <c r="E31" s="2040" t="s">
        <v>2515</v>
      </c>
      <c r="F31" s="2040" t="s">
        <v>2516</v>
      </c>
      <c r="G31" s="2040" t="s">
        <v>2517</v>
      </c>
      <c r="H31" s="2040" t="s">
        <v>22</v>
      </c>
      <c r="I31" s="2040" t="s">
        <v>913</v>
      </c>
    </row>
    <row r="32" spans="1:9" ht="11.25" customHeight="1">
      <c r="A32" s="2040" t="s">
        <v>2388</v>
      </c>
      <c r="B32" s="2040" t="s">
        <v>16</v>
      </c>
      <c r="C32" s="2040" t="s">
        <v>2518</v>
      </c>
      <c r="D32" s="2040" t="s">
        <v>2519</v>
      </c>
      <c r="E32" s="2040" t="s">
        <v>2520</v>
      </c>
      <c r="F32" s="2040" t="s">
        <v>2521</v>
      </c>
      <c r="G32" s="2040" t="s">
        <v>2522</v>
      </c>
      <c r="H32" s="2040" t="s">
        <v>22</v>
      </c>
      <c r="I32" s="2040" t="s">
        <v>913</v>
      </c>
    </row>
    <row r="33" spans="1:9" ht="11.25" customHeight="1">
      <c r="A33" s="2040" t="s">
        <v>2388</v>
      </c>
      <c r="B33" s="2040" t="s">
        <v>16</v>
      </c>
      <c r="C33" s="2040" t="s">
        <v>2523</v>
      </c>
      <c r="D33" s="2040" t="s">
        <v>2524</v>
      </c>
      <c r="E33" s="2040" t="s">
        <v>2525</v>
      </c>
      <c r="F33" s="2040" t="s">
        <v>2526</v>
      </c>
      <c r="G33" s="2040" t="s">
        <v>2527</v>
      </c>
      <c r="H33" s="2040" t="s">
        <v>22</v>
      </c>
      <c r="I33" s="2040" t="s">
        <v>913</v>
      </c>
    </row>
    <row r="34" spans="1:9" ht="11.25" customHeight="1">
      <c r="A34" s="2040" t="s">
        <v>2388</v>
      </c>
      <c r="B34" s="2040" t="s">
        <v>16</v>
      </c>
      <c r="C34" s="2040" t="s">
        <v>2528</v>
      </c>
      <c r="D34" s="2040" t="s">
        <v>2529</v>
      </c>
      <c r="E34" s="2040" t="s">
        <v>2530</v>
      </c>
      <c r="F34" s="2040" t="s">
        <v>2531</v>
      </c>
      <c r="G34" s="2040" t="s">
        <v>2532</v>
      </c>
      <c r="H34" s="2040" t="s">
        <v>22</v>
      </c>
      <c r="I34" s="2040" t="s">
        <v>913</v>
      </c>
    </row>
    <row r="35" spans="1:9" ht="11.25" customHeight="1">
      <c r="A35" s="2040" t="s">
        <v>2388</v>
      </c>
      <c r="B35" s="2040" t="s">
        <v>16</v>
      </c>
      <c r="C35" s="2040" t="s">
        <v>2533</v>
      </c>
      <c r="D35" s="2040" t="s">
        <v>2534</v>
      </c>
      <c r="E35" s="2040" t="s">
        <v>2535</v>
      </c>
      <c r="F35" s="2040" t="s">
        <v>2536</v>
      </c>
      <c r="G35" s="2040" t="s">
        <v>2537</v>
      </c>
      <c r="H35" s="2040" t="s">
        <v>22</v>
      </c>
      <c r="I35" s="2040" t="s">
        <v>913</v>
      </c>
    </row>
    <row r="36" spans="1:9" ht="11.25" customHeight="1">
      <c r="A36" s="2040" t="s">
        <v>2388</v>
      </c>
      <c r="B36" s="2040" t="s">
        <v>16</v>
      </c>
      <c r="C36" s="2040" t="s">
        <v>2538</v>
      </c>
      <c r="D36" s="2040" t="s">
        <v>2539</v>
      </c>
      <c r="E36" s="2040" t="s">
        <v>2540</v>
      </c>
      <c r="F36" s="2040" t="s">
        <v>2418</v>
      </c>
      <c r="G36" s="2040" t="s">
        <v>2541</v>
      </c>
      <c r="H36" s="2040" t="s">
        <v>22</v>
      </c>
      <c r="I36" s="2040" t="s">
        <v>913</v>
      </c>
    </row>
    <row r="37" spans="1:9" ht="11.25" customHeight="1">
      <c r="A37" s="2040" t="s">
        <v>2388</v>
      </c>
      <c r="B37" s="2040" t="s">
        <v>16</v>
      </c>
      <c r="C37" s="2040" t="s">
        <v>2542</v>
      </c>
      <c r="D37" s="2040" t="s">
        <v>2543</v>
      </c>
      <c r="E37" s="2040" t="s">
        <v>2409</v>
      </c>
      <c r="F37" s="2040" t="s">
        <v>2544</v>
      </c>
      <c r="G37" s="2040" t="s">
        <v>2545</v>
      </c>
      <c r="H37" s="2040" t="s">
        <v>22</v>
      </c>
      <c r="I37" s="2040" t="s">
        <v>913</v>
      </c>
    </row>
    <row r="38" spans="1:9" ht="11.25" customHeight="1">
      <c r="A38" s="2040" t="s">
        <v>2388</v>
      </c>
      <c r="B38" s="2040" t="s">
        <v>16</v>
      </c>
      <c r="C38" s="2040" t="s">
        <v>2546</v>
      </c>
      <c r="D38" s="2040" t="s">
        <v>2547</v>
      </c>
      <c r="E38" s="2040" t="s">
        <v>2548</v>
      </c>
      <c r="F38" s="2040" t="s">
        <v>50</v>
      </c>
      <c r="G38" s="2040" t="s">
        <v>2549</v>
      </c>
      <c r="H38" s="2040" t="s">
        <v>22</v>
      </c>
      <c r="I38" s="2040" t="s">
        <v>913</v>
      </c>
    </row>
    <row r="39" spans="1:9" ht="11.25" customHeight="1">
      <c r="A39" s="2040" t="s">
        <v>2388</v>
      </c>
      <c r="B39" s="2040" t="s">
        <v>16</v>
      </c>
      <c r="C39" s="2040" t="s">
        <v>2550</v>
      </c>
      <c r="D39" s="2040" t="s">
        <v>2551</v>
      </c>
      <c r="E39" s="2040" t="s">
        <v>2552</v>
      </c>
      <c r="F39" s="2040" t="s">
        <v>2553</v>
      </c>
      <c r="G39" s="2040" t="s">
        <v>2554</v>
      </c>
      <c r="H39" s="2040" t="s">
        <v>22</v>
      </c>
      <c r="I39" s="2040" t="s">
        <v>913</v>
      </c>
    </row>
    <row r="40" spans="1:9" ht="11.25" customHeight="1">
      <c r="A40" s="2040" t="s">
        <v>2388</v>
      </c>
      <c r="B40" s="2040" t="s">
        <v>16</v>
      </c>
      <c r="C40" s="2040" t="s">
        <v>2555</v>
      </c>
      <c r="D40" s="2040" t="s">
        <v>2556</v>
      </c>
      <c r="E40" s="2040" t="s">
        <v>2557</v>
      </c>
      <c r="F40" s="2040" t="s">
        <v>2418</v>
      </c>
      <c r="G40" s="2040" t="s">
        <v>22</v>
      </c>
      <c r="H40" s="2040" t="s">
        <v>22</v>
      </c>
      <c r="I40" s="2040" t="s">
        <v>913</v>
      </c>
    </row>
    <row r="41" spans="1:9" ht="11.25" customHeight="1">
      <c r="A41" s="2040" t="s">
        <v>2388</v>
      </c>
      <c r="B41" s="2040" t="s">
        <v>16</v>
      </c>
      <c r="C41" s="2040" t="s">
        <v>2558</v>
      </c>
      <c r="D41" s="2040" t="s">
        <v>2559</v>
      </c>
      <c r="E41" s="2040" t="s">
        <v>2560</v>
      </c>
      <c r="F41" s="2040" t="s">
        <v>2561</v>
      </c>
      <c r="G41" s="2040" t="s">
        <v>2562</v>
      </c>
      <c r="H41" s="2040" t="s">
        <v>22</v>
      </c>
      <c r="I41" s="2040" t="s">
        <v>913</v>
      </c>
    </row>
    <row r="42" spans="1:9" ht="11.25" customHeight="1">
      <c r="A42" s="2040" t="s">
        <v>2388</v>
      </c>
      <c r="B42" s="2040" t="s">
        <v>16</v>
      </c>
      <c r="C42" s="2040" t="s">
        <v>2563</v>
      </c>
      <c r="D42" s="2040" t="s">
        <v>2564</v>
      </c>
      <c r="E42" s="2040" t="s">
        <v>2565</v>
      </c>
      <c r="F42" s="2040" t="s">
        <v>2454</v>
      </c>
      <c r="G42" s="2040" t="s">
        <v>2566</v>
      </c>
      <c r="H42" s="2040" t="s">
        <v>22</v>
      </c>
      <c r="I42" s="2040" t="s">
        <v>913</v>
      </c>
    </row>
    <row r="43" spans="1:9" ht="11.25" customHeight="1">
      <c r="A43" s="2040" t="s">
        <v>2388</v>
      </c>
      <c r="B43" s="2040" t="s">
        <v>16</v>
      </c>
      <c r="C43" s="2040" t="s">
        <v>2567</v>
      </c>
      <c r="D43" s="2040" t="s">
        <v>2568</v>
      </c>
      <c r="E43" s="2040" t="s">
        <v>2569</v>
      </c>
      <c r="F43" s="2040" t="s">
        <v>2570</v>
      </c>
      <c r="G43" s="2040" t="s">
        <v>2571</v>
      </c>
      <c r="H43" s="2040" t="s">
        <v>22</v>
      </c>
      <c r="I43" s="2040" t="s">
        <v>913</v>
      </c>
    </row>
    <row r="44" spans="1:9" ht="11.25" customHeight="1">
      <c r="A44" s="2040" t="s">
        <v>2388</v>
      </c>
      <c r="B44" s="2040" t="s">
        <v>16</v>
      </c>
      <c r="C44" s="2040" t="s">
        <v>2572</v>
      </c>
      <c r="D44" s="2040" t="s">
        <v>2573</v>
      </c>
      <c r="E44" s="2040" t="s">
        <v>2574</v>
      </c>
      <c r="F44" s="2040" t="s">
        <v>2440</v>
      </c>
      <c r="G44" s="2040" t="s">
        <v>22</v>
      </c>
      <c r="H44" s="2040" t="s">
        <v>22</v>
      </c>
      <c r="I44" s="2040" t="s">
        <v>913</v>
      </c>
    </row>
    <row r="45" spans="1:9" ht="11.25" customHeight="1">
      <c r="A45" s="2040" t="s">
        <v>2388</v>
      </c>
      <c r="B45" s="2040" t="s">
        <v>16</v>
      </c>
      <c r="C45" s="2040" t="s">
        <v>13</v>
      </c>
      <c r="D45" s="2040" t="s">
        <v>45</v>
      </c>
      <c r="E45" s="2040" t="s">
        <v>48</v>
      </c>
      <c r="F45" s="2040" t="s">
        <v>50</v>
      </c>
      <c r="G45" s="2040" t="s">
        <v>22</v>
      </c>
      <c r="H45" s="2040" t="s">
        <v>22</v>
      </c>
      <c r="I45" s="2040" t="s">
        <v>913</v>
      </c>
    </row>
    <row r="46" spans="1:9" ht="11.25" customHeight="1">
      <c r="A46" s="2040" t="s">
        <v>2388</v>
      </c>
      <c r="B46" s="2040" t="s">
        <v>16</v>
      </c>
      <c r="C46" s="2040" t="s">
        <v>2575</v>
      </c>
      <c r="D46" s="2040" t="s">
        <v>2576</v>
      </c>
      <c r="E46" s="2040" t="s">
        <v>2577</v>
      </c>
      <c r="F46" s="2040" t="s">
        <v>2430</v>
      </c>
      <c r="G46" s="2040" t="s">
        <v>2578</v>
      </c>
      <c r="H46" s="2040" t="s">
        <v>22</v>
      </c>
      <c r="I46" s="2040" t="s">
        <v>913</v>
      </c>
    </row>
    <row r="47" spans="1:9" ht="11.25" customHeight="1">
      <c r="A47" s="2040" t="s">
        <v>2388</v>
      </c>
      <c r="B47" s="2040" t="s">
        <v>16</v>
      </c>
      <c r="C47" s="2040" t="s">
        <v>2579</v>
      </c>
      <c r="D47" s="2040" t="s">
        <v>2580</v>
      </c>
      <c r="E47" s="2040" t="s">
        <v>2581</v>
      </c>
      <c r="F47" s="2040" t="s">
        <v>2582</v>
      </c>
      <c r="G47" s="2040" t="s">
        <v>2583</v>
      </c>
      <c r="H47" s="2040" t="s">
        <v>22</v>
      </c>
      <c r="I47" s="2040" t="s">
        <v>913</v>
      </c>
    </row>
    <row r="48" spans="1:9" ht="11.25" customHeight="1">
      <c r="A48" s="2040" t="s">
        <v>2388</v>
      </c>
      <c r="B48" s="2040" t="s">
        <v>16</v>
      </c>
      <c r="C48" s="2040" t="s">
        <v>2584</v>
      </c>
      <c r="D48" s="2040" t="s">
        <v>2585</v>
      </c>
      <c r="E48" s="2040" t="s">
        <v>2586</v>
      </c>
      <c r="F48" s="2040" t="s">
        <v>2392</v>
      </c>
      <c r="G48" s="2040" t="s">
        <v>2587</v>
      </c>
      <c r="H48" s="2040" t="s">
        <v>22</v>
      </c>
      <c r="I48" s="2040" t="s">
        <v>913</v>
      </c>
    </row>
    <row r="49" spans="1:9" ht="11.25" customHeight="1">
      <c r="A49" s="2040" t="s">
        <v>2388</v>
      </c>
      <c r="B49" s="2040" t="s">
        <v>16</v>
      </c>
      <c r="C49" s="2040" t="s">
        <v>2588</v>
      </c>
      <c r="D49" s="2040" t="s">
        <v>2589</v>
      </c>
      <c r="E49" s="2040" t="s">
        <v>2590</v>
      </c>
      <c r="F49" s="2040" t="s">
        <v>50</v>
      </c>
      <c r="G49" s="2040" t="s">
        <v>22</v>
      </c>
      <c r="H49" s="2040" t="s">
        <v>22</v>
      </c>
      <c r="I49" s="2040" t="s">
        <v>913</v>
      </c>
    </row>
    <row r="50" spans="1:9" ht="11.25" customHeight="1">
      <c r="A50" s="2040" t="s">
        <v>2388</v>
      </c>
      <c r="B50" s="2040" t="s">
        <v>16</v>
      </c>
      <c r="C50" s="2040" t="s">
        <v>2591</v>
      </c>
      <c r="D50" s="2040" t="s">
        <v>2592</v>
      </c>
      <c r="E50" s="2040" t="s">
        <v>2593</v>
      </c>
      <c r="F50" s="2040" t="s">
        <v>2531</v>
      </c>
      <c r="G50" s="2040" t="s">
        <v>2594</v>
      </c>
      <c r="H50" s="2040" t="s">
        <v>22</v>
      </c>
      <c r="I50" s="2040" t="s">
        <v>913</v>
      </c>
    </row>
    <row r="51" spans="1:9" ht="11.25" customHeight="1">
      <c r="A51" s="2040" t="s">
        <v>2388</v>
      </c>
      <c r="B51" s="2040" t="s">
        <v>16</v>
      </c>
      <c r="C51" s="2040" t="s">
        <v>2595</v>
      </c>
      <c r="D51" s="2040" t="s">
        <v>2596</v>
      </c>
      <c r="E51" s="2040" t="s">
        <v>2597</v>
      </c>
      <c r="F51" s="2040" t="s">
        <v>50</v>
      </c>
      <c r="G51" s="2040" t="s">
        <v>22</v>
      </c>
      <c r="H51" s="2040" t="s">
        <v>22</v>
      </c>
      <c r="I51" s="2040" t="s">
        <v>913</v>
      </c>
    </row>
    <row r="52" spans="1:9" ht="11.25" customHeight="1">
      <c r="A52" s="2040" t="s">
        <v>2388</v>
      </c>
      <c r="B52" s="2040" t="s">
        <v>16</v>
      </c>
      <c r="C52" s="2040" t="s">
        <v>2598</v>
      </c>
      <c r="D52" s="2040" t="s">
        <v>2599</v>
      </c>
      <c r="E52" s="2040" t="s">
        <v>2600</v>
      </c>
      <c r="F52" s="2040" t="s">
        <v>2435</v>
      </c>
      <c r="G52" s="2040" t="s">
        <v>2601</v>
      </c>
      <c r="H52" s="2040" t="s">
        <v>22</v>
      </c>
      <c r="I52" s="2040" t="s">
        <v>913</v>
      </c>
    </row>
    <row r="53" spans="1:9" ht="11.25" customHeight="1">
      <c r="A53" s="2040" t="s">
        <v>2388</v>
      </c>
      <c r="B53" s="2040" t="s">
        <v>16</v>
      </c>
      <c r="C53" s="2040" t="s">
        <v>2602</v>
      </c>
      <c r="D53" s="2040" t="s">
        <v>2603</v>
      </c>
      <c r="E53" s="2040" t="s">
        <v>2604</v>
      </c>
      <c r="F53" s="2040" t="s">
        <v>2397</v>
      </c>
      <c r="G53" s="2040" t="s">
        <v>2605</v>
      </c>
      <c r="H53" s="2040" t="s">
        <v>22</v>
      </c>
      <c r="I53" s="2040" t="s">
        <v>913</v>
      </c>
    </row>
    <row r="54" spans="1:9" ht="11.25" customHeight="1">
      <c r="A54" s="2040" t="s">
        <v>2388</v>
      </c>
      <c r="B54" s="2040" t="s">
        <v>16</v>
      </c>
      <c r="C54" s="2040" t="s">
        <v>2606</v>
      </c>
      <c r="D54" s="2040" t="s">
        <v>2607</v>
      </c>
      <c r="E54" s="2040" t="s">
        <v>2608</v>
      </c>
      <c r="F54" s="2040" t="s">
        <v>2435</v>
      </c>
      <c r="G54" s="2040" t="s">
        <v>2609</v>
      </c>
      <c r="H54" s="2040" t="s">
        <v>22</v>
      </c>
      <c r="I54" s="2040" t="s">
        <v>913</v>
      </c>
    </row>
    <row r="55" spans="1:9" ht="11.25" customHeight="1">
      <c r="A55" s="2040" t="s">
        <v>2388</v>
      </c>
      <c r="B55" s="2040" t="s">
        <v>16</v>
      </c>
      <c r="C55" s="2040" t="s">
        <v>2610</v>
      </c>
      <c r="D55" s="2040" t="s">
        <v>2611</v>
      </c>
      <c r="E55" s="2040" t="s">
        <v>2612</v>
      </c>
      <c r="F55" s="2040" t="s">
        <v>2613</v>
      </c>
      <c r="G55" s="2040" t="s">
        <v>2614</v>
      </c>
      <c r="H55" s="2040" t="s">
        <v>22</v>
      </c>
      <c r="I55" s="2040" t="s">
        <v>913</v>
      </c>
    </row>
    <row r="56" spans="1:9" ht="11.25" customHeight="1">
      <c r="A56" s="2040" t="s">
        <v>2388</v>
      </c>
      <c r="B56" s="2040" t="s">
        <v>16</v>
      </c>
      <c r="C56" s="2040" t="s">
        <v>2615</v>
      </c>
      <c r="D56" s="2040" t="s">
        <v>2616</v>
      </c>
      <c r="E56" s="2040" t="s">
        <v>2617</v>
      </c>
      <c r="F56" s="2040" t="s">
        <v>2531</v>
      </c>
      <c r="G56" s="2040" t="s">
        <v>2618</v>
      </c>
      <c r="H56" s="2040" t="s">
        <v>22</v>
      </c>
      <c r="I56" s="2040" t="s">
        <v>913</v>
      </c>
    </row>
    <row r="57" spans="1:9" ht="11.25" customHeight="1">
      <c r="A57" s="2040" t="s">
        <v>2388</v>
      </c>
      <c r="B57" s="2040" t="s">
        <v>16</v>
      </c>
      <c r="C57" s="2040" t="s">
        <v>2619</v>
      </c>
      <c r="D57" s="2040" t="s">
        <v>2620</v>
      </c>
      <c r="E57" s="2040" t="s">
        <v>2621</v>
      </c>
      <c r="F57" s="2040" t="s">
        <v>2613</v>
      </c>
      <c r="G57" s="2040" t="s">
        <v>2622</v>
      </c>
      <c r="H57" s="2040" t="s">
        <v>22</v>
      </c>
      <c r="I57" s="2040" t="s">
        <v>913</v>
      </c>
    </row>
    <row r="58" spans="1:9" ht="11.25" customHeight="1">
      <c r="A58" s="2040" t="s">
        <v>2388</v>
      </c>
      <c r="B58" s="2040" t="s">
        <v>16</v>
      </c>
      <c r="C58" s="2040" t="s">
        <v>2623</v>
      </c>
      <c r="D58" s="2040" t="s">
        <v>2624</v>
      </c>
      <c r="E58" s="2040" t="s">
        <v>2625</v>
      </c>
      <c r="F58" s="2040" t="s">
        <v>2582</v>
      </c>
      <c r="G58" s="2040" t="s">
        <v>2626</v>
      </c>
      <c r="H58" s="2040" t="s">
        <v>22</v>
      </c>
      <c r="I58" s="2040" t="s">
        <v>913</v>
      </c>
    </row>
    <row r="59" spans="1:9" ht="11.25" customHeight="1">
      <c r="A59" s="2040" t="s">
        <v>2388</v>
      </c>
      <c r="B59" s="2040" t="s">
        <v>16</v>
      </c>
      <c r="C59" s="2040" t="s">
        <v>2627</v>
      </c>
      <c r="D59" s="2040" t="s">
        <v>2628</v>
      </c>
      <c r="E59" s="2040" t="s">
        <v>2629</v>
      </c>
      <c r="F59" s="2040" t="s">
        <v>2418</v>
      </c>
      <c r="G59" s="2040" t="s">
        <v>2630</v>
      </c>
      <c r="H59" s="2040" t="s">
        <v>22</v>
      </c>
      <c r="I59" s="2040" t="s">
        <v>913</v>
      </c>
    </row>
    <row r="60" spans="1:9" ht="11.25" customHeight="1">
      <c r="A60" s="2040" t="s">
        <v>2388</v>
      </c>
      <c r="B60" s="2040" t="s">
        <v>16</v>
      </c>
      <c r="C60" s="2040" t="s">
        <v>2631</v>
      </c>
      <c r="D60" s="2040" t="s">
        <v>2632</v>
      </c>
      <c r="E60" s="2040" t="s">
        <v>2633</v>
      </c>
      <c r="F60" s="2040" t="s">
        <v>2634</v>
      </c>
      <c r="G60" s="2040" t="s">
        <v>22</v>
      </c>
      <c r="H60" s="2040" t="s">
        <v>22</v>
      </c>
      <c r="I60" s="2040" t="s">
        <v>913</v>
      </c>
    </row>
    <row r="61" spans="1:9" ht="11.25" customHeight="1">
      <c r="A61" s="2040" t="s">
        <v>2388</v>
      </c>
      <c r="B61" s="2040" t="s">
        <v>16</v>
      </c>
      <c r="C61" s="2040" t="s">
        <v>2635</v>
      </c>
      <c r="D61" s="2040" t="s">
        <v>2636</v>
      </c>
      <c r="E61" s="2040" t="s">
        <v>2637</v>
      </c>
      <c r="F61" s="2040" t="s">
        <v>2638</v>
      </c>
      <c r="G61" s="2040" t="s">
        <v>2639</v>
      </c>
      <c r="H61" s="2040" t="s">
        <v>22</v>
      </c>
      <c r="I61" s="2040" t="s">
        <v>913</v>
      </c>
    </row>
    <row r="62" spans="1:9" ht="11.25" customHeight="1">
      <c r="A62" s="2040" t="s">
        <v>2388</v>
      </c>
      <c r="B62" s="2040" t="s">
        <v>16</v>
      </c>
      <c r="C62" s="2040" t="s">
        <v>2640</v>
      </c>
      <c r="D62" s="2040" t="s">
        <v>2641</v>
      </c>
      <c r="E62" s="2040" t="s">
        <v>2642</v>
      </c>
      <c r="F62" s="2040" t="s">
        <v>2643</v>
      </c>
      <c r="G62" s="2040" t="s">
        <v>2644</v>
      </c>
      <c r="H62" s="2040" t="s">
        <v>22</v>
      </c>
      <c r="I62" s="2040" t="s">
        <v>913</v>
      </c>
    </row>
    <row r="63" spans="1:9" ht="11.25" customHeight="1">
      <c r="A63" s="2040" t="s">
        <v>2388</v>
      </c>
      <c r="B63" s="2040" t="s">
        <v>16</v>
      </c>
      <c r="C63" s="2040" t="s">
        <v>2645</v>
      </c>
      <c r="D63" s="2040" t="s">
        <v>2646</v>
      </c>
      <c r="E63" s="2040" t="s">
        <v>2647</v>
      </c>
      <c r="F63" s="2040" t="s">
        <v>2638</v>
      </c>
      <c r="G63" s="2040" t="s">
        <v>2648</v>
      </c>
      <c r="H63" s="2040" t="s">
        <v>22</v>
      </c>
      <c r="I63" s="2040" t="s">
        <v>913</v>
      </c>
    </row>
    <row r="64" spans="1:9" ht="11.25" customHeight="1">
      <c r="A64" s="2040" t="s">
        <v>2388</v>
      </c>
      <c r="B64" s="2040" t="s">
        <v>16</v>
      </c>
      <c r="C64" s="2040" t="s">
        <v>2649</v>
      </c>
      <c r="D64" s="2040" t="s">
        <v>2650</v>
      </c>
      <c r="E64" s="2040" t="s">
        <v>2651</v>
      </c>
      <c r="F64" s="2040" t="s">
        <v>2652</v>
      </c>
      <c r="G64" s="2040" t="s">
        <v>2653</v>
      </c>
      <c r="H64" s="2040" t="s">
        <v>22</v>
      </c>
      <c r="I64" s="2040" t="s">
        <v>913</v>
      </c>
    </row>
    <row r="65" spans="1:9" ht="11.25" customHeight="1">
      <c r="A65" s="2040" t="s">
        <v>2388</v>
      </c>
      <c r="B65" s="2040" t="s">
        <v>16</v>
      </c>
      <c r="C65" s="2040" t="s">
        <v>2654</v>
      </c>
      <c r="D65" s="2040" t="s">
        <v>2655</v>
      </c>
      <c r="E65" s="2040" t="s">
        <v>2656</v>
      </c>
      <c r="F65" s="2040" t="s">
        <v>2657</v>
      </c>
      <c r="G65" s="2040" t="s">
        <v>2658</v>
      </c>
      <c r="H65" s="2040" t="s">
        <v>22</v>
      </c>
      <c r="I65" s="2040" t="s">
        <v>913</v>
      </c>
    </row>
    <row r="66" spans="1:9" ht="11.25" customHeight="1">
      <c r="A66" s="2040" t="s">
        <v>2388</v>
      </c>
      <c r="B66" s="2040" t="s">
        <v>16</v>
      </c>
      <c r="C66" s="2040" t="s">
        <v>2659</v>
      </c>
      <c r="D66" s="2040" t="s">
        <v>2660</v>
      </c>
      <c r="E66" s="2040" t="s">
        <v>2661</v>
      </c>
      <c r="F66" s="2040" t="s">
        <v>2430</v>
      </c>
      <c r="G66" s="2040" t="s">
        <v>22</v>
      </c>
      <c r="H66" s="2040" t="s">
        <v>22</v>
      </c>
      <c r="I66" s="2040" t="s">
        <v>913</v>
      </c>
    </row>
    <row r="67" spans="1:9" ht="11.25" customHeight="1">
      <c r="A67" s="2040" t="s">
        <v>2388</v>
      </c>
      <c r="B67" s="2040" t="s">
        <v>16</v>
      </c>
      <c r="C67" s="2040" t="s">
        <v>2662</v>
      </c>
      <c r="D67" s="2040" t="s">
        <v>2663</v>
      </c>
      <c r="E67" s="2040" t="s">
        <v>2664</v>
      </c>
      <c r="F67" s="2040" t="s">
        <v>2665</v>
      </c>
      <c r="G67" s="2040" t="s">
        <v>2666</v>
      </c>
      <c r="H67" s="2040" t="s">
        <v>22</v>
      </c>
      <c r="I67" s="2040" t="s">
        <v>913</v>
      </c>
    </row>
    <row r="68" spans="1:9" ht="11.25" customHeight="1">
      <c r="A68" s="2040" t="s">
        <v>2388</v>
      </c>
      <c r="B68" s="2040" t="s">
        <v>16</v>
      </c>
      <c r="C68" s="2040" t="s">
        <v>22</v>
      </c>
      <c r="D68" s="2040" t="s">
        <v>2667</v>
      </c>
      <c r="E68" s="2040" t="s">
        <v>2668</v>
      </c>
      <c r="F68" s="2040" t="s">
        <v>2669</v>
      </c>
      <c r="G68" s="2040" t="s">
        <v>22</v>
      </c>
      <c r="H68" s="2040" t="s">
        <v>22</v>
      </c>
      <c r="I68" s="2040" t="s">
        <v>913</v>
      </c>
    </row>
    <row r="69" spans="1:9" ht="11.25" customHeight="1">
      <c r="A69" s="2040" t="s">
        <v>2388</v>
      </c>
      <c r="B69" s="2040" t="s">
        <v>16</v>
      </c>
      <c r="C69" s="2040" t="s">
        <v>2670</v>
      </c>
      <c r="D69" s="2040" t="s">
        <v>2671</v>
      </c>
      <c r="E69" s="2040" t="s">
        <v>2672</v>
      </c>
      <c r="F69" s="2040" t="s">
        <v>2673</v>
      </c>
      <c r="G69" s="2040" t="s">
        <v>2674</v>
      </c>
      <c r="H69" s="2040" t="s">
        <v>22</v>
      </c>
      <c r="I69" s="2040" t="s">
        <v>913</v>
      </c>
    </row>
    <row r="70" spans="1:9" ht="11.25" customHeight="1">
      <c r="A70" s="2040" t="s">
        <v>2388</v>
      </c>
      <c r="B70" s="2040" t="s">
        <v>16</v>
      </c>
      <c r="C70" s="2040" t="s">
        <v>2675</v>
      </c>
      <c r="D70" s="2040" t="s">
        <v>2676</v>
      </c>
      <c r="E70" s="2040" t="s">
        <v>2677</v>
      </c>
      <c r="F70" s="2040" t="s">
        <v>2678</v>
      </c>
      <c r="G70" s="2040" t="s">
        <v>22</v>
      </c>
      <c r="H70" s="2040" t="s">
        <v>22</v>
      </c>
      <c r="I70" s="2040" t="s">
        <v>913</v>
      </c>
    </row>
    <row r="71" spans="1:9" ht="11.25" customHeight="1">
      <c r="A71" s="2040" t="s">
        <v>2388</v>
      </c>
      <c r="B71" s="2040" t="s">
        <v>16</v>
      </c>
      <c r="C71" s="2040" t="s">
        <v>2679</v>
      </c>
      <c r="D71" s="2040" t="s">
        <v>2680</v>
      </c>
      <c r="E71" s="2040" t="s">
        <v>2681</v>
      </c>
      <c r="F71" s="2040" t="s">
        <v>2682</v>
      </c>
      <c r="G71" s="2040" t="s">
        <v>2683</v>
      </c>
      <c r="H71" s="2040" t="s">
        <v>22</v>
      </c>
      <c r="I71" s="2040" t="s">
        <v>913</v>
      </c>
    </row>
    <row r="72" spans="1:9" ht="11.25" customHeight="1">
      <c r="A72" s="2040" t="s">
        <v>2388</v>
      </c>
      <c r="B72" s="2040" t="s">
        <v>16</v>
      </c>
      <c r="C72" s="2040" t="s">
        <v>2684</v>
      </c>
      <c r="D72" s="2040" t="s">
        <v>2685</v>
      </c>
      <c r="E72" s="2040" t="s">
        <v>2686</v>
      </c>
      <c r="F72" s="2040" t="s">
        <v>2669</v>
      </c>
      <c r="G72" s="2040" t="s">
        <v>22</v>
      </c>
      <c r="H72" s="2040" t="s">
        <v>22</v>
      </c>
      <c r="I72" s="2040" t="s">
        <v>913</v>
      </c>
    </row>
    <row r="73" spans="1:9" ht="11.25" customHeight="1">
      <c r="A73" s="2040" t="s">
        <v>2388</v>
      </c>
      <c r="B73" s="2040" t="s">
        <v>16</v>
      </c>
      <c r="C73" s="2040" t="s">
        <v>2687</v>
      </c>
      <c r="D73" s="2040" t="s">
        <v>2688</v>
      </c>
      <c r="E73" s="2040" t="s">
        <v>2689</v>
      </c>
      <c r="F73" s="2040" t="s">
        <v>2690</v>
      </c>
      <c r="G73" s="2040" t="s">
        <v>2512</v>
      </c>
      <c r="H73" s="2040" t="s">
        <v>22</v>
      </c>
      <c r="I73" s="2040" t="s">
        <v>913</v>
      </c>
    </row>
    <row r="74" spans="1:9" ht="11.25" customHeight="1">
      <c r="A74" s="2040" t="s">
        <v>2388</v>
      </c>
      <c r="B74" s="2040" t="s">
        <v>16</v>
      </c>
      <c r="C74" s="2040" t="s">
        <v>2691</v>
      </c>
      <c r="D74" s="2040" t="s">
        <v>2692</v>
      </c>
      <c r="E74" s="2040" t="s">
        <v>2693</v>
      </c>
      <c r="F74" s="2040" t="s">
        <v>2694</v>
      </c>
      <c r="G74" s="2040" t="s">
        <v>2695</v>
      </c>
      <c r="H74" s="2040" t="s">
        <v>22</v>
      </c>
      <c r="I74" s="2040" t="s">
        <v>913</v>
      </c>
    </row>
    <row r="75" spans="1:9" ht="11.25" customHeight="1">
      <c r="A75" s="2040" t="s">
        <v>2388</v>
      </c>
      <c r="B75" s="2040" t="s">
        <v>16</v>
      </c>
      <c r="C75" s="2040" t="s">
        <v>2696</v>
      </c>
      <c r="D75" s="2040" t="s">
        <v>2697</v>
      </c>
      <c r="E75" s="2040" t="s">
        <v>2698</v>
      </c>
      <c r="F75" s="2040" t="s">
        <v>2445</v>
      </c>
      <c r="G75" s="2040" t="s">
        <v>2699</v>
      </c>
      <c r="H75" s="2040" t="s">
        <v>22</v>
      </c>
      <c r="I75" s="2040" t="s">
        <v>913</v>
      </c>
    </row>
    <row r="76" spans="1:9" ht="11.25" customHeight="1">
      <c r="A76" s="2040" t="s">
        <v>2388</v>
      </c>
      <c r="B76" s="2040" t="s">
        <v>16</v>
      </c>
      <c r="C76" s="2040" t="s">
        <v>2700</v>
      </c>
      <c r="D76" s="2040" t="s">
        <v>2701</v>
      </c>
      <c r="E76" s="2040" t="s">
        <v>2656</v>
      </c>
      <c r="F76" s="2040" t="s">
        <v>2702</v>
      </c>
      <c r="G76" s="2040" t="s">
        <v>2658</v>
      </c>
      <c r="H76" s="2040" t="s">
        <v>22</v>
      </c>
      <c r="I76" s="2040" t="s">
        <v>913</v>
      </c>
    </row>
    <row r="77" spans="1:9" ht="11.25" customHeight="1">
      <c r="A77" s="2040" t="s">
        <v>2388</v>
      </c>
      <c r="B77" s="2040" t="s">
        <v>16</v>
      </c>
      <c r="C77" s="2040" t="s">
        <v>2424</v>
      </c>
      <c r="D77" s="2040" t="s">
        <v>2425</v>
      </c>
      <c r="E77" s="2040" t="s">
        <v>2426</v>
      </c>
      <c r="F77" s="2040" t="s">
        <v>2397</v>
      </c>
      <c r="G77" s="2040" t="s">
        <v>22</v>
      </c>
      <c r="H77" s="2040" t="s">
        <v>22</v>
      </c>
      <c r="I77" s="2040" t="s">
        <v>1001</v>
      </c>
    </row>
    <row r="78" spans="1:9" ht="11.25" customHeight="1">
      <c r="A78" s="2040" t="s">
        <v>2388</v>
      </c>
      <c r="B78" s="2040" t="s">
        <v>16</v>
      </c>
      <c r="C78" s="2040" t="s">
        <v>2432</v>
      </c>
      <c r="D78" s="2040" t="s">
        <v>2433</v>
      </c>
      <c r="E78" s="2040" t="s">
        <v>2434</v>
      </c>
      <c r="F78" s="2040" t="s">
        <v>2435</v>
      </c>
      <c r="G78" s="2040" t="s">
        <v>2436</v>
      </c>
      <c r="H78" s="2040" t="s">
        <v>22</v>
      </c>
      <c r="I78" s="2040" t="s">
        <v>1001</v>
      </c>
    </row>
    <row r="79" spans="1:9" ht="11.25" customHeight="1">
      <c r="A79" s="2040" t="s">
        <v>2388</v>
      </c>
      <c r="B79" s="2040" t="s">
        <v>16</v>
      </c>
      <c r="C79" s="2040" t="s">
        <v>2437</v>
      </c>
      <c r="D79" s="2040" t="s">
        <v>2438</v>
      </c>
      <c r="E79" s="2040" t="s">
        <v>2439</v>
      </c>
      <c r="F79" s="2040" t="s">
        <v>2440</v>
      </c>
      <c r="G79" s="2040" t="s">
        <v>2441</v>
      </c>
      <c r="H79" s="2040" t="s">
        <v>22</v>
      </c>
      <c r="I79" s="2040" t="s">
        <v>1001</v>
      </c>
    </row>
    <row r="80" spans="1:9" ht="11.25" customHeight="1">
      <c r="A80" s="2040" t="s">
        <v>2388</v>
      </c>
      <c r="B80" s="2040" t="s">
        <v>16</v>
      </c>
      <c r="C80" s="2040" t="s">
        <v>2446</v>
      </c>
      <c r="D80" s="2040" t="s">
        <v>2447</v>
      </c>
      <c r="E80" s="2040" t="s">
        <v>2448</v>
      </c>
      <c r="F80" s="2040" t="s">
        <v>2449</v>
      </c>
      <c r="G80" s="2040" t="s">
        <v>2450</v>
      </c>
      <c r="H80" s="2040" t="s">
        <v>22</v>
      </c>
      <c r="I80" s="2040" t="s">
        <v>1001</v>
      </c>
    </row>
    <row r="81" spans="1:9" ht="11.25" customHeight="1">
      <c r="A81" s="2040" t="s">
        <v>2388</v>
      </c>
      <c r="B81" s="2040" t="s">
        <v>16</v>
      </c>
      <c r="C81" s="2040" t="s">
        <v>2464</v>
      </c>
      <c r="D81" s="2040" t="s">
        <v>2465</v>
      </c>
      <c r="E81" s="2040" t="s">
        <v>2466</v>
      </c>
      <c r="F81" s="2040" t="s">
        <v>2430</v>
      </c>
      <c r="G81" s="2040" t="s">
        <v>2467</v>
      </c>
      <c r="H81" s="2040" t="s">
        <v>22</v>
      </c>
      <c r="I81" s="2040" t="s">
        <v>1001</v>
      </c>
    </row>
    <row r="82" spans="1:9" ht="11.25" customHeight="1">
      <c r="A82" s="2040" t="s">
        <v>2388</v>
      </c>
      <c r="B82" s="2040" t="s">
        <v>16</v>
      </c>
      <c r="C82" s="2040" t="s">
        <v>2468</v>
      </c>
      <c r="D82" s="2040" t="s">
        <v>2469</v>
      </c>
      <c r="E82" s="2040" t="s">
        <v>2470</v>
      </c>
      <c r="F82" s="2040" t="s">
        <v>2430</v>
      </c>
      <c r="G82" s="2040" t="s">
        <v>2471</v>
      </c>
      <c r="H82" s="2040" t="s">
        <v>22</v>
      </c>
      <c r="I82" s="2040" t="s">
        <v>1001</v>
      </c>
    </row>
    <row r="83" spans="1:9" ht="11.25" customHeight="1">
      <c r="A83" s="2040" t="s">
        <v>2388</v>
      </c>
      <c r="B83" s="2040" t="s">
        <v>16</v>
      </c>
      <c r="C83" s="2040" t="s">
        <v>2476</v>
      </c>
      <c r="D83" s="2040" t="s">
        <v>2477</v>
      </c>
      <c r="E83" s="2040" t="s">
        <v>2478</v>
      </c>
      <c r="F83" s="2040" t="s">
        <v>2479</v>
      </c>
      <c r="G83" s="2040" t="s">
        <v>2480</v>
      </c>
      <c r="H83" s="2040" t="s">
        <v>22</v>
      </c>
      <c r="I83" s="2040" t="s">
        <v>1001</v>
      </c>
    </row>
    <row r="84" spans="1:9" ht="11.25" customHeight="1">
      <c r="A84" s="2040" t="s">
        <v>2388</v>
      </c>
      <c r="B84" s="2040" t="s">
        <v>16</v>
      </c>
      <c r="C84" s="2040" t="s">
        <v>2505</v>
      </c>
      <c r="D84" s="2040" t="s">
        <v>2506</v>
      </c>
      <c r="E84" s="2040" t="s">
        <v>2507</v>
      </c>
      <c r="F84" s="2040" t="s">
        <v>50</v>
      </c>
      <c r="G84" s="2040" t="s">
        <v>2508</v>
      </c>
      <c r="H84" s="2040" t="s">
        <v>22</v>
      </c>
      <c r="I84" s="2040" t="s">
        <v>1001</v>
      </c>
    </row>
    <row r="85" spans="1:9" ht="11.25" customHeight="1">
      <c r="A85" s="2040" t="s">
        <v>2388</v>
      </c>
      <c r="B85" s="2040" t="s">
        <v>16</v>
      </c>
      <c r="C85" s="2040" t="s">
        <v>2523</v>
      </c>
      <c r="D85" s="2040" t="s">
        <v>2524</v>
      </c>
      <c r="E85" s="2040" t="s">
        <v>2525</v>
      </c>
      <c r="F85" s="2040" t="s">
        <v>2526</v>
      </c>
      <c r="G85" s="2040" t="s">
        <v>2527</v>
      </c>
      <c r="H85" s="2040" t="s">
        <v>22</v>
      </c>
      <c r="I85" s="2040" t="s">
        <v>1001</v>
      </c>
    </row>
    <row r="86" spans="1:9" ht="11.25" customHeight="1">
      <c r="A86" s="2040" t="s">
        <v>2388</v>
      </c>
      <c r="B86" s="2040" t="s">
        <v>16</v>
      </c>
      <c r="C86" s="2040" t="s">
        <v>2542</v>
      </c>
      <c r="D86" s="2040" t="s">
        <v>2543</v>
      </c>
      <c r="E86" s="2040" t="s">
        <v>2409</v>
      </c>
      <c r="F86" s="2040" t="s">
        <v>2544</v>
      </c>
      <c r="G86" s="2040" t="s">
        <v>2545</v>
      </c>
      <c r="H86" s="2040" t="s">
        <v>22</v>
      </c>
      <c r="I86" s="2040" t="s">
        <v>1001</v>
      </c>
    </row>
    <row r="87" spans="1:9" ht="11.25" customHeight="1">
      <c r="A87" s="2040" t="s">
        <v>2388</v>
      </c>
      <c r="B87" s="2040" t="s">
        <v>16</v>
      </c>
      <c r="C87" s="2040" t="s">
        <v>2546</v>
      </c>
      <c r="D87" s="2040" t="s">
        <v>2547</v>
      </c>
      <c r="E87" s="2040" t="s">
        <v>2548</v>
      </c>
      <c r="F87" s="2040" t="s">
        <v>50</v>
      </c>
      <c r="G87" s="2040" t="s">
        <v>2549</v>
      </c>
      <c r="H87" s="2040" t="s">
        <v>22</v>
      </c>
      <c r="I87" s="2040" t="s">
        <v>1001</v>
      </c>
    </row>
    <row r="88" spans="1:9" ht="11.25" customHeight="1">
      <c r="A88" s="2040" t="s">
        <v>2388</v>
      </c>
      <c r="B88" s="2040" t="s">
        <v>16</v>
      </c>
      <c r="C88" s="2040" t="s">
        <v>2555</v>
      </c>
      <c r="D88" s="2040" t="s">
        <v>2556</v>
      </c>
      <c r="E88" s="2040" t="s">
        <v>2557</v>
      </c>
      <c r="F88" s="2040" t="s">
        <v>2418</v>
      </c>
      <c r="G88" s="2040" t="s">
        <v>22</v>
      </c>
      <c r="H88" s="2040" t="s">
        <v>22</v>
      </c>
      <c r="I88" s="2040" t="s">
        <v>1001</v>
      </c>
    </row>
    <row r="89" spans="1:9" ht="11.25" customHeight="1">
      <c r="A89" s="2040" t="s">
        <v>2388</v>
      </c>
      <c r="B89" s="2040" t="s">
        <v>16</v>
      </c>
      <c r="C89" s="2040" t="s">
        <v>2563</v>
      </c>
      <c r="D89" s="2040" t="s">
        <v>2564</v>
      </c>
      <c r="E89" s="2040" t="s">
        <v>2565</v>
      </c>
      <c r="F89" s="2040" t="s">
        <v>2454</v>
      </c>
      <c r="G89" s="2040" t="s">
        <v>2566</v>
      </c>
      <c r="H89" s="2040" t="s">
        <v>22</v>
      </c>
      <c r="I89" s="2040" t="s">
        <v>1001</v>
      </c>
    </row>
    <row r="90" spans="1:9" ht="11.25" customHeight="1">
      <c r="A90" s="2040" t="s">
        <v>2388</v>
      </c>
      <c r="B90" s="2040" t="s">
        <v>16</v>
      </c>
      <c r="C90" s="2040" t="s">
        <v>2572</v>
      </c>
      <c r="D90" s="2040" t="s">
        <v>2573</v>
      </c>
      <c r="E90" s="2040" t="s">
        <v>2574</v>
      </c>
      <c r="F90" s="2040" t="s">
        <v>2440</v>
      </c>
      <c r="G90" s="2040" t="s">
        <v>22</v>
      </c>
      <c r="H90" s="2040" t="s">
        <v>22</v>
      </c>
      <c r="I90" s="2040" t="s">
        <v>1001</v>
      </c>
    </row>
    <row r="91" spans="1:9" ht="11.25" customHeight="1">
      <c r="A91" s="2040" t="s">
        <v>2388</v>
      </c>
      <c r="B91" s="2040" t="s">
        <v>16</v>
      </c>
      <c r="C91" s="2040" t="s">
        <v>13</v>
      </c>
      <c r="D91" s="2040" t="s">
        <v>45</v>
      </c>
      <c r="E91" s="2040" t="s">
        <v>48</v>
      </c>
      <c r="F91" s="2040" t="s">
        <v>50</v>
      </c>
      <c r="G91" s="2040" t="s">
        <v>22</v>
      </c>
      <c r="H91" s="2040" t="s">
        <v>22</v>
      </c>
      <c r="I91" s="2040" t="s">
        <v>1001</v>
      </c>
    </row>
    <row r="92" spans="1:9" ht="11.25" customHeight="1">
      <c r="A92" s="2040" t="s">
        <v>2388</v>
      </c>
      <c r="B92" s="2040" t="s">
        <v>16</v>
      </c>
      <c r="C92" s="2040" t="s">
        <v>2579</v>
      </c>
      <c r="D92" s="2040" t="s">
        <v>2580</v>
      </c>
      <c r="E92" s="2040" t="s">
        <v>2581</v>
      </c>
      <c r="F92" s="2040" t="s">
        <v>2582</v>
      </c>
      <c r="G92" s="2040" t="s">
        <v>2583</v>
      </c>
      <c r="H92" s="2040" t="s">
        <v>22</v>
      </c>
      <c r="I92" s="2040" t="s">
        <v>1001</v>
      </c>
    </row>
    <row r="93" spans="1:9" ht="11.25" customHeight="1">
      <c r="A93" s="2040" t="s">
        <v>2388</v>
      </c>
      <c r="B93" s="2040" t="s">
        <v>16</v>
      </c>
      <c r="C93" s="2040" t="s">
        <v>2584</v>
      </c>
      <c r="D93" s="2040" t="s">
        <v>2585</v>
      </c>
      <c r="E93" s="2040" t="s">
        <v>2586</v>
      </c>
      <c r="F93" s="2040" t="s">
        <v>2392</v>
      </c>
      <c r="G93" s="2040" t="s">
        <v>2587</v>
      </c>
      <c r="H93" s="2040" t="s">
        <v>22</v>
      </c>
      <c r="I93" s="2040" t="s">
        <v>1001</v>
      </c>
    </row>
    <row r="94" spans="1:9" ht="11.25" customHeight="1">
      <c r="A94" s="2040" t="s">
        <v>2388</v>
      </c>
      <c r="B94" s="2040" t="s">
        <v>16</v>
      </c>
      <c r="C94" s="2040" t="s">
        <v>2595</v>
      </c>
      <c r="D94" s="2040" t="s">
        <v>2596</v>
      </c>
      <c r="E94" s="2040" t="s">
        <v>2597</v>
      </c>
      <c r="F94" s="2040" t="s">
        <v>50</v>
      </c>
      <c r="G94" s="2040" t="s">
        <v>22</v>
      </c>
      <c r="H94" s="2040" t="s">
        <v>22</v>
      </c>
      <c r="I94" s="2040" t="s">
        <v>1001</v>
      </c>
    </row>
    <row r="95" spans="1:9" ht="11.25" customHeight="1">
      <c r="A95" s="2040" t="s">
        <v>2388</v>
      </c>
      <c r="B95" s="2040" t="s">
        <v>16</v>
      </c>
      <c r="C95" s="2040" t="s">
        <v>2598</v>
      </c>
      <c r="D95" s="2040" t="s">
        <v>2599</v>
      </c>
      <c r="E95" s="2040" t="s">
        <v>2600</v>
      </c>
      <c r="F95" s="2040" t="s">
        <v>2435</v>
      </c>
      <c r="G95" s="2040" t="s">
        <v>2601</v>
      </c>
      <c r="H95" s="2040" t="s">
        <v>22</v>
      </c>
      <c r="I95" s="2040" t="s">
        <v>1001</v>
      </c>
    </row>
    <row r="96" spans="1:9" ht="11.25" customHeight="1">
      <c r="A96" s="2040" t="s">
        <v>2388</v>
      </c>
      <c r="B96" s="2040" t="s">
        <v>16</v>
      </c>
      <c r="C96" s="2040" t="s">
        <v>2602</v>
      </c>
      <c r="D96" s="2040" t="s">
        <v>2603</v>
      </c>
      <c r="E96" s="2040" t="s">
        <v>2604</v>
      </c>
      <c r="F96" s="2040" t="s">
        <v>2397</v>
      </c>
      <c r="G96" s="2040" t="s">
        <v>2605</v>
      </c>
      <c r="H96" s="2040" t="s">
        <v>22</v>
      </c>
      <c r="I96" s="2040" t="s">
        <v>1001</v>
      </c>
    </row>
    <row r="97" spans="1:9" ht="11.25" customHeight="1">
      <c r="A97" s="2040" t="s">
        <v>2388</v>
      </c>
      <c r="B97" s="2040" t="s">
        <v>16</v>
      </c>
      <c r="C97" s="2040" t="s">
        <v>2610</v>
      </c>
      <c r="D97" s="2040" t="s">
        <v>2611</v>
      </c>
      <c r="E97" s="2040" t="s">
        <v>2612</v>
      </c>
      <c r="F97" s="2040" t="s">
        <v>2613</v>
      </c>
      <c r="G97" s="2040" t="s">
        <v>2614</v>
      </c>
      <c r="H97" s="2040" t="s">
        <v>22</v>
      </c>
      <c r="I97" s="2040" t="s">
        <v>1001</v>
      </c>
    </row>
    <row r="98" spans="1:9" ht="11.25" customHeight="1">
      <c r="A98" s="2040" t="s">
        <v>2388</v>
      </c>
      <c r="B98" s="2040" t="s">
        <v>16</v>
      </c>
      <c r="C98" s="2040" t="s">
        <v>2627</v>
      </c>
      <c r="D98" s="2040" t="s">
        <v>2628</v>
      </c>
      <c r="E98" s="2040" t="s">
        <v>2629</v>
      </c>
      <c r="F98" s="2040" t="s">
        <v>2418</v>
      </c>
      <c r="G98" s="2040" t="s">
        <v>2630</v>
      </c>
      <c r="H98" s="2040" t="s">
        <v>22</v>
      </c>
      <c r="I98" s="2040" t="s">
        <v>1001</v>
      </c>
    </row>
    <row r="99" spans="1:9" ht="11.25" customHeight="1">
      <c r="A99" s="2040" t="s">
        <v>2388</v>
      </c>
      <c r="B99" s="2040" t="s">
        <v>16</v>
      </c>
      <c r="C99" s="2040" t="s">
        <v>2649</v>
      </c>
      <c r="D99" s="2040" t="s">
        <v>2650</v>
      </c>
      <c r="E99" s="2040" t="s">
        <v>2651</v>
      </c>
      <c r="F99" s="2040" t="s">
        <v>2652</v>
      </c>
      <c r="G99" s="2040" t="s">
        <v>2653</v>
      </c>
      <c r="H99" s="2040" t="s">
        <v>22</v>
      </c>
      <c r="I99" s="2040" t="s">
        <v>1001</v>
      </c>
    </row>
    <row r="100" spans="1:9" ht="11.25" customHeight="1">
      <c r="A100" s="2040" t="s">
        <v>2388</v>
      </c>
      <c r="B100" s="2040" t="s">
        <v>16</v>
      </c>
      <c r="C100" s="2040" t="s">
        <v>2654</v>
      </c>
      <c r="D100" s="2040" t="s">
        <v>2655</v>
      </c>
      <c r="E100" s="2040" t="s">
        <v>2656</v>
      </c>
      <c r="F100" s="2040" t="s">
        <v>2657</v>
      </c>
      <c r="G100" s="2040" t="s">
        <v>2658</v>
      </c>
      <c r="H100" s="2040" t="s">
        <v>22</v>
      </c>
      <c r="I100" s="2040" t="s">
        <v>1001</v>
      </c>
    </row>
    <row r="101" spans="1:9" ht="11.25" customHeight="1">
      <c r="A101" s="2040" t="s">
        <v>2388</v>
      </c>
      <c r="B101" s="2040" t="s">
        <v>16</v>
      </c>
      <c r="C101" s="2040" t="s">
        <v>22</v>
      </c>
      <c r="D101" s="2040" t="s">
        <v>2667</v>
      </c>
      <c r="E101" s="2040" t="s">
        <v>2668</v>
      </c>
      <c r="F101" s="2040" t="s">
        <v>2669</v>
      </c>
      <c r="G101" s="2040" t="s">
        <v>22</v>
      </c>
      <c r="H101" s="2040" t="s">
        <v>22</v>
      </c>
      <c r="I101" s="2040" t="s">
        <v>1001</v>
      </c>
    </row>
    <row r="102" spans="1:9" ht="11.25" customHeight="1">
      <c r="A102" s="2040" t="s">
        <v>2388</v>
      </c>
      <c r="B102" s="2040" t="s">
        <v>16</v>
      </c>
      <c r="C102" s="2040" t="s">
        <v>2670</v>
      </c>
      <c r="D102" s="2040" t="s">
        <v>2671</v>
      </c>
      <c r="E102" s="2040" t="s">
        <v>2672</v>
      </c>
      <c r="F102" s="2040" t="s">
        <v>2673</v>
      </c>
      <c r="G102" s="2040" t="s">
        <v>2674</v>
      </c>
      <c r="H102" s="2040" t="s">
        <v>22</v>
      </c>
      <c r="I102" s="2040" t="s">
        <v>1001</v>
      </c>
    </row>
    <row r="103" spans="1:9" ht="11.25" customHeight="1">
      <c r="A103" s="2040" t="s">
        <v>2388</v>
      </c>
      <c r="B103" s="2040" t="s">
        <v>16</v>
      </c>
      <c r="C103" s="2040" t="s">
        <v>2675</v>
      </c>
      <c r="D103" s="2040" t="s">
        <v>2676</v>
      </c>
      <c r="E103" s="2040" t="s">
        <v>2677</v>
      </c>
      <c r="F103" s="2040" t="s">
        <v>2678</v>
      </c>
      <c r="G103" s="2040" t="s">
        <v>22</v>
      </c>
      <c r="H103" s="2040" t="s">
        <v>22</v>
      </c>
      <c r="I103" s="2040" t="s">
        <v>1001</v>
      </c>
    </row>
    <row r="104" spans="1:9" ht="11.25" customHeight="1">
      <c r="A104" s="2040" t="s">
        <v>2388</v>
      </c>
      <c r="B104" s="2040" t="s">
        <v>16</v>
      </c>
      <c r="C104" s="2040" t="s">
        <v>2679</v>
      </c>
      <c r="D104" s="2040" t="s">
        <v>2680</v>
      </c>
      <c r="E104" s="2040" t="s">
        <v>2681</v>
      </c>
      <c r="F104" s="2040" t="s">
        <v>2682</v>
      </c>
      <c r="G104" s="2040" t="s">
        <v>2683</v>
      </c>
      <c r="H104" s="2040" t="s">
        <v>22</v>
      </c>
      <c r="I104" s="2040" t="s">
        <v>1001</v>
      </c>
    </row>
    <row r="105" spans="1:9" ht="11.25" customHeight="1">
      <c r="A105" s="2040" t="s">
        <v>2388</v>
      </c>
      <c r="B105" s="2040" t="s">
        <v>16</v>
      </c>
      <c r="C105" s="2040" t="s">
        <v>2684</v>
      </c>
      <c r="D105" s="2040" t="s">
        <v>2685</v>
      </c>
      <c r="E105" s="2040" t="s">
        <v>2686</v>
      </c>
      <c r="F105" s="2040" t="s">
        <v>2669</v>
      </c>
      <c r="G105" s="2040" t="s">
        <v>22</v>
      </c>
      <c r="H105" s="2040" t="s">
        <v>22</v>
      </c>
      <c r="I105" s="2040" t="s">
        <v>1001</v>
      </c>
    </row>
    <row r="106" spans="1:9" ht="11.25" customHeight="1">
      <c r="A106" s="2040" t="s">
        <v>2388</v>
      </c>
      <c r="B106" s="2040" t="s">
        <v>16</v>
      </c>
      <c r="C106" s="2040" t="s">
        <v>2687</v>
      </c>
      <c r="D106" s="2040" t="s">
        <v>2688</v>
      </c>
      <c r="E106" s="2040" t="s">
        <v>2689</v>
      </c>
      <c r="F106" s="2040" t="s">
        <v>2690</v>
      </c>
      <c r="G106" s="2040" t="s">
        <v>2512</v>
      </c>
      <c r="H106" s="2040" t="s">
        <v>22</v>
      </c>
      <c r="I106" s="2040" t="s">
        <v>1001</v>
      </c>
    </row>
    <row r="107" spans="1:9" ht="11.25" customHeight="1">
      <c r="A107" s="2040" t="s">
        <v>2388</v>
      </c>
      <c r="B107" s="2040" t="s">
        <v>16</v>
      </c>
      <c r="C107" s="2040" t="s">
        <v>2696</v>
      </c>
      <c r="D107" s="2040" t="s">
        <v>2697</v>
      </c>
      <c r="E107" s="2040" t="s">
        <v>2698</v>
      </c>
      <c r="F107" s="2040" t="s">
        <v>2445</v>
      </c>
      <c r="G107" s="2040" t="s">
        <v>2699</v>
      </c>
      <c r="H107" s="2040" t="s">
        <v>22</v>
      </c>
      <c r="I107" s="2040" t="s">
        <v>1001</v>
      </c>
    </row>
    <row r="108" spans="1:9" ht="11.25" customHeight="1">
      <c r="A108" s="2040" t="s">
        <v>2388</v>
      </c>
      <c r="B108" s="2040" t="s">
        <v>16</v>
      </c>
      <c r="C108" s="2040" t="s">
        <v>2700</v>
      </c>
      <c r="D108" s="2040" t="s">
        <v>2701</v>
      </c>
      <c r="E108" s="2040" t="s">
        <v>2656</v>
      </c>
      <c r="F108" s="2040" t="s">
        <v>2702</v>
      </c>
      <c r="G108" s="2040" t="s">
        <v>2658</v>
      </c>
      <c r="H108" s="2040" t="s">
        <v>22</v>
      </c>
      <c r="I108" s="2040" t="s">
        <v>1001</v>
      </c>
    </row>
    <row r="109" spans="1:9" ht="11.25" customHeight="1">
      <c r="A109" s="2040" t="s">
        <v>2388</v>
      </c>
      <c r="B109" s="2040" t="s">
        <v>16</v>
      </c>
      <c r="C109" s="2040" t="s">
        <v>2703</v>
      </c>
      <c r="D109" s="2040" t="s">
        <v>2704</v>
      </c>
      <c r="E109" s="2040" t="s">
        <v>2705</v>
      </c>
      <c r="F109" s="2040" t="s">
        <v>2397</v>
      </c>
      <c r="G109" s="2040" t="s">
        <v>2706</v>
      </c>
      <c r="H109" s="2040" t="s">
        <v>22</v>
      </c>
      <c r="I109" s="2040" t="s">
        <v>961</v>
      </c>
    </row>
    <row r="110" spans="1:9" ht="11.25" customHeight="1">
      <c r="A110" s="2040" t="s">
        <v>2388</v>
      </c>
      <c r="B110" s="2040" t="s">
        <v>16</v>
      </c>
      <c r="C110" s="2040" t="s">
        <v>2707</v>
      </c>
      <c r="D110" s="2040" t="s">
        <v>2708</v>
      </c>
      <c r="E110" s="2040" t="s">
        <v>2709</v>
      </c>
      <c r="F110" s="2040" t="s">
        <v>2430</v>
      </c>
      <c r="G110" s="2040" t="s">
        <v>2710</v>
      </c>
      <c r="H110" s="2040" t="s">
        <v>22</v>
      </c>
      <c r="I110" s="2040" t="s">
        <v>961</v>
      </c>
    </row>
    <row r="111" spans="1:9" ht="11.25" customHeight="1">
      <c r="A111" s="2040" t="s">
        <v>2388</v>
      </c>
      <c r="B111" s="2040" t="s">
        <v>16</v>
      </c>
      <c r="C111" s="2040" t="s">
        <v>2399</v>
      </c>
      <c r="D111" s="2040" t="s">
        <v>2400</v>
      </c>
      <c r="E111" s="2040" t="s">
        <v>2401</v>
      </c>
      <c r="F111" s="2040" t="s">
        <v>2397</v>
      </c>
      <c r="G111" s="2040" t="s">
        <v>2402</v>
      </c>
      <c r="H111" s="2040" t="s">
        <v>22</v>
      </c>
      <c r="I111" s="2040" t="s">
        <v>961</v>
      </c>
    </row>
    <row r="112" spans="1:9" ht="11.25" customHeight="1">
      <c r="A112" s="2040" t="s">
        <v>2388</v>
      </c>
      <c r="B112" s="2040" t="s">
        <v>16</v>
      </c>
      <c r="C112" s="2040" t="s">
        <v>2711</v>
      </c>
      <c r="D112" s="2040" t="s">
        <v>2712</v>
      </c>
      <c r="E112" s="2040" t="s">
        <v>2713</v>
      </c>
      <c r="F112" s="2040" t="s">
        <v>2669</v>
      </c>
      <c r="G112" s="2040" t="s">
        <v>2714</v>
      </c>
      <c r="H112" s="2040" t="s">
        <v>22</v>
      </c>
      <c r="I112" s="2040" t="s">
        <v>961</v>
      </c>
    </row>
    <row r="113" spans="1:9" ht="11.25" customHeight="1">
      <c r="A113" s="2040" t="s">
        <v>2388</v>
      </c>
      <c r="B113" s="2040" t="s">
        <v>16</v>
      </c>
      <c r="C113" s="2040" t="s">
        <v>2451</v>
      </c>
      <c r="D113" s="2040" t="s">
        <v>2452</v>
      </c>
      <c r="E113" s="2040" t="s">
        <v>2453</v>
      </c>
      <c r="F113" s="2040" t="s">
        <v>2454</v>
      </c>
      <c r="G113" s="2040" t="s">
        <v>2455</v>
      </c>
      <c r="H113" s="2040" t="s">
        <v>22</v>
      </c>
      <c r="I113" s="2040" t="s">
        <v>961</v>
      </c>
    </row>
    <row r="114" spans="1:9" ht="11.25" customHeight="1">
      <c r="A114" s="2040" t="s">
        <v>2388</v>
      </c>
      <c r="B114" s="2040" t="s">
        <v>16</v>
      </c>
      <c r="C114" s="2040" t="s">
        <v>2715</v>
      </c>
      <c r="D114" s="2040" t="s">
        <v>2716</v>
      </c>
      <c r="E114" s="2040" t="s">
        <v>2717</v>
      </c>
      <c r="F114" s="2040" t="s">
        <v>2669</v>
      </c>
      <c r="G114" s="2040" t="s">
        <v>2718</v>
      </c>
      <c r="H114" s="2040" t="s">
        <v>22</v>
      </c>
      <c r="I114" s="2040" t="s">
        <v>961</v>
      </c>
    </row>
    <row r="115" spans="1:9" ht="11.25" customHeight="1">
      <c r="A115" s="2040" t="s">
        <v>2388</v>
      </c>
      <c r="B115" s="2040" t="s">
        <v>16</v>
      </c>
      <c r="C115" s="2040" t="s">
        <v>2719</v>
      </c>
      <c r="D115" s="2040" t="s">
        <v>2720</v>
      </c>
      <c r="E115" s="2040" t="s">
        <v>2721</v>
      </c>
      <c r="F115" s="2040" t="s">
        <v>2722</v>
      </c>
      <c r="G115" s="2040" t="s">
        <v>2723</v>
      </c>
      <c r="H115" s="2040" t="s">
        <v>22</v>
      </c>
      <c r="I115" s="2040" t="s">
        <v>961</v>
      </c>
    </row>
    <row r="116" spans="1:9" ht="11.25" customHeight="1">
      <c r="A116" s="2040" t="s">
        <v>2388</v>
      </c>
      <c r="B116" s="2040" t="s">
        <v>16</v>
      </c>
      <c r="C116" s="2040" t="s">
        <v>2724</v>
      </c>
      <c r="D116" s="2040" t="s">
        <v>2725</v>
      </c>
      <c r="E116" s="2040" t="s">
        <v>2726</v>
      </c>
      <c r="F116" s="2040" t="s">
        <v>2727</v>
      </c>
      <c r="G116" s="2040" t="s">
        <v>2728</v>
      </c>
      <c r="H116" s="2040" t="s">
        <v>22</v>
      </c>
      <c r="I116" s="2040" t="s">
        <v>961</v>
      </c>
    </row>
    <row r="117" spans="1:9" ht="11.25" customHeight="1">
      <c r="A117" s="2040" t="s">
        <v>2388</v>
      </c>
      <c r="B117" s="2040" t="s">
        <v>16</v>
      </c>
      <c r="C117" s="2040" t="s">
        <v>2729</v>
      </c>
      <c r="D117" s="2040" t="s">
        <v>2730</v>
      </c>
      <c r="E117" s="2040" t="s">
        <v>2731</v>
      </c>
      <c r="F117" s="2040" t="s">
        <v>2727</v>
      </c>
      <c r="G117" s="2040" t="s">
        <v>2732</v>
      </c>
      <c r="H117" s="2040" t="s">
        <v>22</v>
      </c>
      <c r="I117" s="2040" t="s">
        <v>961</v>
      </c>
    </row>
    <row r="118" spans="1:9" ht="11.25" customHeight="1">
      <c r="A118" s="2040" t="s">
        <v>2388</v>
      </c>
      <c r="B118" s="2040" t="s">
        <v>16</v>
      </c>
      <c r="C118" s="2040" t="s">
        <v>2733</v>
      </c>
      <c r="D118" s="2040" t="s">
        <v>2734</v>
      </c>
      <c r="E118" s="2040" t="s">
        <v>2735</v>
      </c>
      <c r="F118" s="2040" t="s">
        <v>2722</v>
      </c>
      <c r="G118" s="2040" t="s">
        <v>2736</v>
      </c>
      <c r="H118" s="2040" t="s">
        <v>22</v>
      </c>
      <c r="I118" s="2040" t="s">
        <v>961</v>
      </c>
    </row>
    <row r="119" spans="1:9" ht="11.25" customHeight="1">
      <c r="A119" s="2040" t="s">
        <v>2388</v>
      </c>
      <c r="B119" s="2040" t="s">
        <v>16</v>
      </c>
      <c r="C119" s="2040" t="s">
        <v>2737</v>
      </c>
      <c r="D119" s="2040" t="s">
        <v>2738</v>
      </c>
      <c r="E119" s="2040" t="s">
        <v>2739</v>
      </c>
      <c r="F119" s="2040" t="s">
        <v>2638</v>
      </c>
      <c r="G119" s="2040" t="s">
        <v>2740</v>
      </c>
      <c r="H119" s="2040" t="s">
        <v>22</v>
      </c>
      <c r="I119" s="2040" t="s">
        <v>961</v>
      </c>
    </row>
    <row r="120" spans="1:9" ht="11.25" customHeight="1">
      <c r="A120" s="2040" t="s">
        <v>2388</v>
      </c>
      <c r="B120" s="2040" t="s">
        <v>16</v>
      </c>
      <c r="C120" s="2040" t="s">
        <v>2468</v>
      </c>
      <c r="D120" s="2040" t="s">
        <v>2469</v>
      </c>
      <c r="E120" s="2040" t="s">
        <v>2470</v>
      </c>
      <c r="F120" s="2040" t="s">
        <v>2430</v>
      </c>
      <c r="G120" s="2040" t="s">
        <v>2471</v>
      </c>
      <c r="H120" s="2040" t="s">
        <v>22</v>
      </c>
      <c r="I120" s="2040" t="s">
        <v>961</v>
      </c>
    </row>
    <row r="121" spans="1:9" ht="11.25" customHeight="1">
      <c r="A121" s="2040" t="s">
        <v>2388</v>
      </c>
      <c r="B121" s="2040" t="s">
        <v>16</v>
      </c>
      <c r="C121" s="2040" t="s">
        <v>2741</v>
      </c>
      <c r="D121" s="2040" t="s">
        <v>2742</v>
      </c>
      <c r="E121" s="2040" t="s">
        <v>2743</v>
      </c>
      <c r="F121" s="2040" t="s">
        <v>2454</v>
      </c>
      <c r="G121" s="2040" t="s">
        <v>2744</v>
      </c>
      <c r="H121" s="2040" t="s">
        <v>22</v>
      </c>
      <c r="I121" s="2040" t="s">
        <v>961</v>
      </c>
    </row>
    <row r="122" spans="1:9" ht="11.25" customHeight="1">
      <c r="A122" s="2040" t="s">
        <v>2388</v>
      </c>
      <c r="B122" s="2040" t="s">
        <v>16</v>
      </c>
      <c r="C122" s="2040" t="s">
        <v>2745</v>
      </c>
      <c r="D122" s="2040" t="s">
        <v>2746</v>
      </c>
      <c r="E122" s="2040" t="s">
        <v>2747</v>
      </c>
      <c r="F122" s="2040" t="s">
        <v>2582</v>
      </c>
      <c r="G122" s="2040" t="s">
        <v>2748</v>
      </c>
      <c r="H122" s="2040" t="s">
        <v>2749</v>
      </c>
      <c r="I122" s="2040" t="s">
        <v>961</v>
      </c>
    </row>
    <row r="123" spans="1:9" ht="11.25" customHeight="1">
      <c r="A123" s="2040" t="s">
        <v>2388</v>
      </c>
      <c r="B123" s="2040" t="s">
        <v>16</v>
      </c>
      <c r="C123" s="2040" t="s">
        <v>2750</v>
      </c>
      <c r="D123" s="2040" t="s">
        <v>2751</v>
      </c>
      <c r="E123" s="2040" t="s">
        <v>2752</v>
      </c>
      <c r="F123" s="2040" t="s">
        <v>578</v>
      </c>
      <c r="G123" s="2040" t="s">
        <v>2753</v>
      </c>
      <c r="H123" s="2040" t="s">
        <v>22</v>
      </c>
      <c r="I123" s="2040" t="s">
        <v>961</v>
      </c>
    </row>
    <row r="124" spans="1:9" ht="11.25" customHeight="1">
      <c r="A124" s="2040" t="s">
        <v>2388</v>
      </c>
      <c r="B124" s="2040" t="s">
        <v>16</v>
      </c>
      <c r="C124" s="2040" t="s">
        <v>2754</v>
      </c>
      <c r="D124" s="2040" t="s">
        <v>2755</v>
      </c>
      <c r="E124" s="2040" t="s">
        <v>2756</v>
      </c>
      <c r="F124" s="2040" t="s">
        <v>2757</v>
      </c>
      <c r="G124" s="2040" t="s">
        <v>2758</v>
      </c>
      <c r="H124" s="2040" t="s">
        <v>22</v>
      </c>
      <c r="I124" s="2040" t="s">
        <v>961</v>
      </c>
    </row>
    <row r="125" spans="1:9" ht="11.25" customHeight="1">
      <c r="A125" s="2040" t="s">
        <v>2388</v>
      </c>
      <c r="B125" s="2040" t="s">
        <v>16</v>
      </c>
      <c r="C125" s="2040" t="s">
        <v>2759</v>
      </c>
      <c r="D125" s="2040" t="s">
        <v>2760</v>
      </c>
      <c r="E125" s="2040" t="s">
        <v>2761</v>
      </c>
      <c r="F125" s="2040" t="s">
        <v>2762</v>
      </c>
      <c r="G125" s="2040" t="s">
        <v>2763</v>
      </c>
      <c r="H125" s="2040" t="s">
        <v>22</v>
      </c>
      <c r="I125" s="2040" t="s">
        <v>961</v>
      </c>
    </row>
    <row r="126" spans="1:9" ht="11.25" customHeight="1">
      <c r="A126" s="2040" t="s">
        <v>2388</v>
      </c>
      <c r="B126" s="2040" t="s">
        <v>16</v>
      </c>
      <c r="C126" s="2040" t="s">
        <v>2764</v>
      </c>
      <c r="D126" s="2040" t="s">
        <v>2765</v>
      </c>
      <c r="E126" s="2040" t="s">
        <v>2766</v>
      </c>
      <c r="F126" s="2040" t="s">
        <v>2762</v>
      </c>
      <c r="G126" s="2040" t="s">
        <v>2767</v>
      </c>
      <c r="H126" s="2040" t="s">
        <v>22</v>
      </c>
      <c r="I126" s="2040" t="s">
        <v>961</v>
      </c>
    </row>
    <row r="127" spans="1:9" ht="11.25" customHeight="1">
      <c r="A127" s="2040" t="s">
        <v>2388</v>
      </c>
      <c r="B127" s="2040" t="s">
        <v>16</v>
      </c>
      <c r="C127" s="2040" t="s">
        <v>2768</v>
      </c>
      <c r="D127" s="2040" t="s">
        <v>2769</v>
      </c>
      <c r="E127" s="2040" t="s">
        <v>2770</v>
      </c>
      <c r="F127" s="2040" t="s">
        <v>2771</v>
      </c>
      <c r="G127" s="2040" t="s">
        <v>2772</v>
      </c>
      <c r="H127" s="2040" t="s">
        <v>22</v>
      </c>
      <c r="I127" s="2040" t="s">
        <v>961</v>
      </c>
    </row>
    <row r="128" spans="1:9" ht="11.25" customHeight="1">
      <c r="A128" s="2040" t="s">
        <v>2388</v>
      </c>
      <c r="B128" s="2040" t="s">
        <v>16</v>
      </c>
      <c r="C128" s="2040" t="s">
        <v>2773</v>
      </c>
      <c r="D128" s="2040" t="s">
        <v>2774</v>
      </c>
      <c r="E128" s="2040" t="s">
        <v>2775</v>
      </c>
      <c r="F128" s="2040" t="s">
        <v>2771</v>
      </c>
      <c r="G128" s="2040" t="s">
        <v>2776</v>
      </c>
      <c r="H128" s="2040" t="s">
        <v>22</v>
      </c>
      <c r="I128" s="2040" t="s">
        <v>961</v>
      </c>
    </row>
    <row r="129" spans="1:9" ht="11.25" customHeight="1">
      <c r="A129" s="2040" t="s">
        <v>2388</v>
      </c>
      <c r="B129" s="2040" t="s">
        <v>16</v>
      </c>
      <c r="C129" s="2040" t="s">
        <v>2777</v>
      </c>
      <c r="D129" s="2040" t="s">
        <v>2778</v>
      </c>
      <c r="E129" s="2040" t="s">
        <v>2779</v>
      </c>
      <c r="F129" s="2040" t="s">
        <v>2430</v>
      </c>
      <c r="G129" s="2040" t="s">
        <v>2780</v>
      </c>
      <c r="H129" s="2040" t="s">
        <v>22</v>
      </c>
      <c r="I129" s="2040" t="s">
        <v>961</v>
      </c>
    </row>
    <row r="130" spans="1:9" ht="11.25" customHeight="1">
      <c r="A130" s="2040" t="s">
        <v>2388</v>
      </c>
      <c r="B130" s="2040" t="s">
        <v>16</v>
      </c>
      <c r="C130" s="2040" t="s">
        <v>2781</v>
      </c>
      <c r="D130" s="2040" t="s">
        <v>2782</v>
      </c>
      <c r="E130" s="2040" t="s">
        <v>2783</v>
      </c>
      <c r="F130" s="2040" t="s">
        <v>2521</v>
      </c>
      <c r="G130" s="2040" t="s">
        <v>2784</v>
      </c>
      <c r="H130" s="2040" t="s">
        <v>22</v>
      </c>
      <c r="I130" s="2040" t="s">
        <v>961</v>
      </c>
    </row>
    <row r="131" spans="1:9" ht="11.25" customHeight="1">
      <c r="A131" s="2040" t="s">
        <v>2388</v>
      </c>
      <c r="B131" s="2040" t="s">
        <v>16</v>
      </c>
      <c r="C131" s="2040" t="s">
        <v>2785</v>
      </c>
      <c r="D131" s="2040" t="s">
        <v>2786</v>
      </c>
      <c r="E131" s="2040" t="s">
        <v>2787</v>
      </c>
      <c r="F131" s="2040" t="s">
        <v>2722</v>
      </c>
      <c r="G131" s="2040" t="s">
        <v>2788</v>
      </c>
      <c r="H131" s="2040" t="s">
        <v>22</v>
      </c>
      <c r="I131" s="2040" t="s">
        <v>961</v>
      </c>
    </row>
    <row r="132" spans="1:9" ht="11.25" customHeight="1">
      <c r="A132" s="2040" t="s">
        <v>2388</v>
      </c>
      <c r="B132" s="2040" t="s">
        <v>16</v>
      </c>
      <c r="C132" s="2040" t="s">
        <v>2789</v>
      </c>
      <c r="D132" s="2040" t="s">
        <v>2790</v>
      </c>
      <c r="E132" s="2040" t="s">
        <v>2791</v>
      </c>
      <c r="F132" s="2040" t="s">
        <v>2771</v>
      </c>
      <c r="G132" s="2040" t="s">
        <v>2792</v>
      </c>
      <c r="H132" s="2040" t="s">
        <v>22</v>
      </c>
      <c r="I132" s="2040" t="s">
        <v>961</v>
      </c>
    </row>
    <row r="133" spans="1:9" ht="11.25" customHeight="1">
      <c r="A133" s="2040" t="s">
        <v>2388</v>
      </c>
      <c r="B133" s="2040" t="s">
        <v>16</v>
      </c>
      <c r="C133" s="2040" t="s">
        <v>2518</v>
      </c>
      <c r="D133" s="2040" t="s">
        <v>2519</v>
      </c>
      <c r="E133" s="2040" t="s">
        <v>2520</v>
      </c>
      <c r="F133" s="2040" t="s">
        <v>2521</v>
      </c>
      <c r="G133" s="2040" t="s">
        <v>2522</v>
      </c>
      <c r="H133" s="2040" t="s">
        <v>22</v>
      </c>
      <c r="I133" s="2040" t="s">
        <v>961</v>
      </c>
    </row>
    <row r="134" spans="1:9" ht="11.25" customHeight="1">
      <c r="A134" s="2040" t="s">
        <v>2388</v>
      </c>
      <c r="B134" s="2040" t="s">
        <v>16</v>
      </c>
      <c r="C134" s="2040" t="s">
        <v>2793</v>
      </c>
      <c r="D134" s="2040" t="s">
        <v>2794</v>
      </c>
      <c r="E134" s="2040" t="s">
        <v>2795</v>
      </c>
      <c r="F134" s="2040" t="s">
        <v>2727</v>
      </c>
      <c r="G134" s="2040" t="s">
        <v>2796</v>
      </c>
      <c r="H134" s="2040" t="s">
        <v>22</v>
      </c>
      <c r="I134" s="2040" t="s">
        <v>961</v>
      </c>
    </row>
    <row r="135" spans="1:9" ht="11.25" customHeight="1">
      <c r="A135" s="2040" t="s">
        <v>2388</v>
      </c>
      <c r="B135" s="2040" t="s">
        <v>16</v>
      </c>
      <c r="C135" s="2040" t="s">
        <v>2797</v>
      </c>
      <c r="D135" s="2040" t="s">
        <v>2798</v>
      </c>
      <c r="E135" s="2040" t="s">
        <v>2799</v>
      </c>
      <c r="F135" s="2040" t="s">
        <v>2800</v>
      </c>
      <c r="G135" s="2040" t="s">
        <v>2801</v>
      </c>
      <c r="H135" s="2040" t="s">
        <v>22</v>
      </c>
      <c r="I135" s="2040" t="s">
        <v>961</v>
      </c>
    </row>
    <row r="136" spans="1:9" ht="11.25" customHeight="1">
      <c r="A136" s="2040" t="s">
        <v>2388</v>
      </c>
      <c r="B136" s="2040" t="s">
        <v>16</v>
      </c>
      <c r="C136" s="2040" t="s">
        <v>2802</v>
      </c>
      <c r="D136" s="2040" t="s">
        <v>2798</v>
      </c>
      <c r="E136" s="2040" t="s">
        <v>2803</v>
      </c>
      <c r="F136" s="2040" t="s">
        <v>2722</v>
      </c>
      <c r="G136" s="2040" t="s">
        <v>2804</v>
      </c>
      <c r="H136" s="2040" t="s">
        <v>22</v>
      </c>
      <c r="I136" s="2040" t="s">
        <v>961</v>
      </c>
    </row>
    <row r="137" spans="1:9" ht="11.25" customHeight="1">
      <c r="A137" s="2040" t="s">
        <v>2388</v>
      </c>
      <c r="B137" s="2040" t="s">
        <v>16</v>
      </c>
      <c r="C137" s="2040" t="s">
        <v>2805</v>
      </c>
      <c r="D137" s="2040" t="s">
        <v>2806</v>
      </c>
      <c r="E137" s="2040" t="s">
        <v>2807</v>
      </c>
      <c r="F137" s="2040" t="s">
        <v>2771</v>
      </c>
      <c r="G137" s="2040" t="s">
        <v>2808</v>
      </c>
      <c r="H137" s="2040" t="s">
        <v>22</v>
      </c>
      <c r="I137" s="2040" t="s">
        <v>961</v>
      </c>
    </row>
    <row r="138" spans="1:9" ht="11.25" customHeight="1">
      <c r="A138" s="2040" t="s">
        <v>2388</v>
      </c>
      <c r="B138" s="2040" t="s">
        <v>16</v>
      </c>
      <c r="C138" s="2040" t="s">
        <v>2809</v>
      </c>
      <c r="D138" s="2040" t="s">
        <v>2810</v>
      </c>
      <c r="E138" s="2040" t="s">
        <v>2811</v>
      </c>
      <c r="F138" s="2040" t="s">
        <v>2722</v>
      </c>
      <c r="G138" s="2040" t="s">
        <v>2812</v>
      </c>
      <c r="H138" s="2040" t="s">
        <v>22</v>
      </c>
      <c r="I138" s="2040" t="s">
        <v>961</v>
      </c>
    </row>
    <row r="139" spans="1:9" ht="11.25" customHeight="1">
      <c r="A139" s="2040" t="s">
        <v>2388</v>
      </c>
      <c r="B139" s="2040" t="s">
        <v>16</v>
      </c>
      <c r="C139" s="2040" t="s">
        <v>2813</v>
      </c>
      <c r="D139" s="2040" t="s">
        <v>2814</v>
      </c>
      <c r="E139" s="2040" t="s">
        <v>2815</v>
      </c>
      <c r="F139" s="2040" t="s">
        <v>2418</v>
      </c>
      <c r="G139" s="2040" t="s">
        <v>2816</v>
      </c>
      <c r="H139" s="2040" t="s">
        <v>22</v>
      </c>
      <c r="I139" s="2040" t="s">
        <v>961</v>
      </c>
    </row>
    <row r="140" spans="1:9" ht="11.25" customHeight="1">
      <c r="A140" s="2040" t="s">
        <v>2388</v>
      </c>
      <c r="B140" s="2040" t="s">
        <v>16</v>
      </c>
      <c r="C140" s="2040" t="s">
        <v>2817</v>
      </c>
      <c r="D140" s="2040" t="s">
        <v>2818</v>
      </c>
      <c r="E140" s="2040" t="s">
        <v>2819</v>
      </c>
      <c r="F140" s="2040" t="s">
        <v>2454</v>
      </c>
      <c r="G140" s="2040" t="s">
        <v>2820</v>
      </c>
      <c r="H140" s="2040" t="s">
        <v>22</v>
      </c>
      <c r="I140" s="2040" t="s">
        <v>961</v>
      </c>
    </row>
    <row r="141" spans="1:9" ht="11.25" customHeight="1">
      <c r="A141" s="2040" t="s">
        <v>2388</v>
      </c>
      <c r="B141" s="2040" t="s">
        <v>16</v>
      </c>
      <c r="C141" s="2040" t="s">
        <v>2821</v>
      </c>
      <c r="D141" s="2040" t="s">
        <v>2822</v>
      </c>
      <c r="E141" s="2040" t="s">
        <v>2823</v>
      </c>
      <c r="F141" s="2040" t="s">
        <v>2392</v>
      </c>
      <c r="G141" s="2040" t="s">
        <v>2824</v>
      </c>
      <c r="H141" s="2040" t="s">
        <v>22</v>
      </c>
      <c r="I141" s="2040" t="s">
        <v>961</v>
      </c>
    </row>
    <row r="142" spans="1:9" ht="11.25" customHeight="1">
      <c r="A142" s="2040" t="s">
        <v>2388</v>
      </c>
      <c r="B142" s="2040" t="s">
        <v>16</v>
      </c>
      <c r="C142" s="2040" t="s">
        <v>2825</v>
      </c>
      <c r="D142" s="2040" t="s">
        <v>2826</v>
      </c>
      <c r="E142" s="2040" t="s">
        <v>2827</v>
      </c>
      <c r="F142" s="2040" t="s">
        <v>2800</v>
      </c>
      <c r="G142" s="2040" t="s">
        <v>2828</v>
      </c>
      <c r="H142" s="2040" t="s">
        <v>22</v>
      </c>
      <c r="I142" s="2040" t="s">
        <v>961</v>
      </c>
    </row>
    <row r="143" spans="1:9" ht="11.25" customHeight="1">
      <c r="A143" s="2040" t="s">
        <v>2388</v>
      </c>
      <c r="B143" s="2040" t="s">
        <v>16</v>
      </c>
      <c r="C143" s="2040" t="s">
        <v>2829</v>
      </c>
      <c r="D143" s="2040" t="s">
        <v>2830</v>
      </c>
      <c r="E143" s="2040" t="s">
        <v>2831</v>
      </c>
      <c r="F143" s="2040" t="s">
        <v>2722</v>
      </c>
      <c r="G143" s="2040" t="s">
        <v>2832</v>
      </c>
      <c r="H143" s="2040" t="s">
        <v>22</v>
      </c>
      <c r="I143" s="2040" t="s">
        <v>961</v>
      </c>
    </row>
    <row r="144" spans="1:9" ht="11.25" customHeight="1">
      <c r="A144" s="2040" t="s">
        <v>2388</v>
      </c>
      <c r="B144" s="2040" t="s">
        <v>16</v>
      </c>
      <c r="C144" s="2040" t="s">
        <v>2833</v>
      </c>
      <c r="D144" s="2040" t="s">
        <v>2834</v>
      </c>
      <c r="E144" s="2040" t="s">
        <v>2835</v>
      </c>
      <c r="F144" s="2040" t="s">
        <v>2836</v>
      </c>
      <c r="G144" s="2040" t="s">
        <v>2837</v>
      </c>
      <c r="H144" s="2040" t="s">
        <v>22</v>
      </c>
      <c r="I144" s="2040" t="s">
        <v>961</v>
      </c>
    </row>
    <row r="145" spans="1:9" ht="11.25" customHeight="1">
      <c r="A145" s="2040" t="s">
        <v>2388</v>
      </c>
      <c r="B145" s="2040" t="s">
        <v>16</v>
      </c>
      <c r="C145" s="2040" t="s">
        <v>2538</v>
      </c>
      <c r="D145" s="2040" t="s">
        <v>2539</v>
      </c>
      <c r="E145" s="2040" t="s">
        <v>2540</v>
      </c>
      <c r="F145" s="2040" t="s">
        <v>2418</v>
      </c>
      <c r="G145" s="2040" t="s">
        <v>2541</v>
      </c>
      <c r="H145" s="2040" t="s">
        <v>22</v>
      </c>
      <c r="I145" s="2040" t="s">
        <v>961</v>
      </c>
    </row>
    <row r="146" spans="1:9" ht="11.25" customHeight="1">
      <c r="A146" s="2040" t="s">
        <v>2388</v>
      </c>
      <c r="B146" s="2040" t="s">
        <v>16</v>
      </c>
      <c r="C146" s="2040" t="s">
        <v>2838</v>
      </c>
      <c r="D146" s="2040" t="s">
        <v>2839</v>
      </c>
      <c r="E146" s="2040" t="s">
        <v>2840</v>
      </c>
      <c r="F146" s="2040" t="s">
        <v>2392</v>
      </c>
      <c r="G146" s="2040" t="s">
        <v>2841</v>
      </c>
      <c r="H146" s="2040" t="s">
        <v>22</v>
      </c>
      <c r="I146" s="2040" t="s">
        <v>961</v>
      </c>
    </row>
    <row r="147" spans="1:9" ht="11.25" customHeight="1">
      <c r="A147" s="2040" t="s">
        <v>2388</v>
      </c>
      <c r="B147" s="2040" t="s">
        <v>16</v>
      </c>
      <c r="C147" s="2040" t="s">
        <v>2842</v>
      </c>
      <c r="D147" s="2040" t="s">
        <v>2843</v>
      </c>
      <c r="E147" s="2040" t="s">
        <v>2844</v>
      </c>
      <c r="F147" s="2040" t="s">
        <v>2762</v>
      </c>
      <c r="G147" s="2040" t="s">
        <v>2845</v>
      </c>
      <c r="H147" s="2040" t="s">
        <v>22</v>
      </c>
      <c r="I147" s="2040" t="s">
        <v>961</v>
      </c>
    </row>
    <row r="148" spans="1:9" ht="11.25" customHeight="1">
      <c r="A148" s="2040" t="s">
        <v>2388</v>
      </c>
      <c r="B148" s="2040" t="s">
        <v>16</v>
      </c>
      <c r="C148" s="2040" t="s">
        <v>2846</v>
      </c>
      <c r="D148" s="2040" t="s">
        <v>2847</v>
      </c>
      <c r="E148" s="2040" t="s">
        <v>2848</v>
      </c>
      <c r="F148" s="2040" t="s">
        <v>2454</v>
      </c>
      <c r="G148" s="2040" t="s">
        <v>2849</v>
      </c>
      <c r="H148" s="2040" t="s">
        <v>22</v>
      </c>
      <c r="I148" s="2040" t="s">
        <v>961</v>
      </c>
    </row>
    <row r="149" spans="1:9" ht="11.25" customHeight="1">
      <c r="A149" s="2040" t="s">
        <v>2388</v>
      </c>
      <c r="B149" s="2040" t="s">
        <v>16</v>
      </c>
      <c r="C149" s="2040" t="s">
        <v>2850</v>
      </c>
      <c r="D149" s="2040" t="s">
        <v>2851</v>
      </c>
      <c r="E149" s="2040" t="s">
        <v>2852</v>
      </c>
      <c r="F149" s="2040" t="s">
        <v>2757</v>
      </c>
      <c r="G149" s="2040" t="s">
        <v>2853</v>
      </c>
      <c r="H149" s="2040" t="s">
        <v>22</v>
      </c>
      <c r="I149" s="2040" t="s">
        <v>961</v>
      </c>
    </row>
    <row r="150" spans="1:9" ht="11.25" customHeight="1">
      <c r="A150" s="2040" t="s">
        <v>2388</v>
      </c>
      <c r="B150" s="2040" t="s">
        <v>16</v>
      </c>
      <c r="C150" s="2040" t="s">
        <v>2854</v>
      </c>
      <c r="D150" s="2040" t="s">
        <v>2855</v>
      </c>
      <c r="E150" s="2040" t="s">
        <v>2856</v>
      </c>
      <c r="F150" s="2040" t="s">
        <v>2836</v>
      </c>
      <c r="G150" s="2040" t="s">
        <v>22</v>
      </c>
      <c r="H150" s="2040" t="s">
        <v>22</v>
      </c>
      <c r="I150" s="2040" t="s">
        <v>961</v>
      </c>
    </row>
    <row r="151" spans="1:9" ht="11.25" customHeight="1">
      <c r="A151" s="2040" t="s">
        <v>2388</v>
      </c>
      <c r="B151" s="2040" t="s">
        <v>16</v>
      </c>
      <c r="C151" s="2040" t="s">
        <v>2857</v>
      </c>
      <c r="D151" s="2040" t="s">
        <v>2858</v>
      </c>
      <c r="E151" s="2040" t="s">
        <v>2859</v>
      </c>
      <c r="F151" s="2040" t="s">
        <v>2454</v>
      </c>
      <c r="G151" s="2040" t="s">
        <v>2849</v>
      </c>
      <c r="H151" s="2040" t="s">
        <v>22</v>
      </c>
      <c r="I151" s="2040" t="s">
        <v>961</v>
      </c>
    </row>
    <row r="152" spans="1:9" ht="11.25" customHeight="1">
      <c r="A152" s="2040" t="s">
        <v>2388</v>
      </c>
      <c r="B152" s="2040" t="s">
        <v>16</v>
      </c>
      <c r="C152" s="2040" t="s">
        <v>2563</v>
      </c>
      <c r="D152" s="2040" t="s">
        <v>2564</v>
      </c>
      <c r="E152" s="2040" t="s">
        <v>2565</v>
      </c>
      <c r="F152" s="2040" t="s">
        <v>2454</v>
      </c>
      <c r="G152" s="2040" t="s">
        <v>2566</v>
      </c>
      <c r="H152" s="2040" t="s">
        <v>22</v>
      </c>
      <c r="I152" s="2040" t="s">
        <v>961</v>
      </c>
    </row>
    <row r="153" spans="1:9" ht="11.25" customHeight="1">
      <c r="A153" s="2040" t="s">
        <v>2388</v>
      </c>
      <c r="B153" s="2040" t="s">
        <v>16</v>
      </c>
      <c r="C153" s="2040" t="s">
        <v>2860</v>
      </c>
      <c r="D153" s="2040" t="s">
        <v>2861</v>
      </c>
      <c r="E153" s="2040" t="s">
        <v>2862</v>
      </c>
      <c r="F153" s="2040" t="s">
        <v>2863</v>
      </c>
      <c r="G153" s="2040" t="s">
        <v>2864</v>
      </c>
      <c r="H153" s="2040" t="s">
        <v>22</v>
      </c>
      <c r="I153" s="2040" t="s">
        <v>961</v>
      </c>
    </row>
    <row r="154" spans="1:9" ht="11.25" customHeight="1">
      <c r="A154" s="2040" t="s">
        <v>2388</v>
      </c>
      <c r="B154" s="2040" t="s">
        <v>16</v>
      </c>
      <c r="C154" s="2040" t="s">
        <v>2865</v>
      </c>
      <c r="D154" s="2040" t="s">
        <v>2866</v>
      </c>
      <c r="E154" s="2040" t="s">
        <v>2867</v>
      </c>
      <c r="F154" s="2040" t="s">
        <v>2800</v>
      </c>
      <c r="G154" s="2040" t="s">
        <v>2868</v>
      </c>
      <c r="H154" s="2040" t="s">
        <v>22</v>
      </c>
      <c r="I154" s="2040" t="s">
        <v>961</v>
      </c>
    </row>
    <row r="155" spans="1:9" ht="11.25" customHeight="1">
      <c r="A155" s="2040" t="s">
        <v>2388</v>
      </c>
      <c r="B155" s="2040" t="s">
        <v>16</v>
      </c>
      <c r="C155" s="2040" t="s">
        <v>2869</v>
      </c>
      <c r="D155" s="2040" t="s">
        <v>2870</v>
      </c>
      <c r="E155" s="2040" t="s">
        <v>2871</v>
      </c>
      <c r="F155" s="2040" t="s">
        <v>2582</v>
      </c>
      <c r="G155" s="2040" t="s">
        <v>2872</v>
      </c>
      <c r="H155" s="2040" t="s">
        <v>22</v>
      </c>
      <c r="I155" s="2040" t="s">
        <v>961</v>
      </c>
    </row>
    <row r="156" spans="1:9" ht="11.25" customHeight="1">
      <c r="A156" s="2040" t="s">
        <v>2388</v>
      </c>
      <c r="B156" s="2040" t="s">
        <v>16</v>
      </c>
      <c r="C156" s="2040" t="s">
        <v>2873</v>
      </c>
      <c r="D156" s="2040" t="s">
        <v>2874</v>
      </c>
      <c r="E156" s="2040" t="s">
        <v>2875</v>
      </c>
      <c r="F156" s="2040" t="s">
        <v>2582</v>
      </c>
      <c r="G156" s="2040" t="s">
        <v>2876</v>
      </c>
      <c r="H156" s="2040" t="s">
        <v>22</v>
      </c>
      <c r="I156" s="2040" t="s">
        <v>961</v>
      </c>
    </row>
    <row r="157" spans="1:9" ht="11.25" customHeight="1">
      <c r="A157" s="2040" t="s">
        <v>2388</v>
      </c>
      <c r="B157" s="2040" t="s">
        <v>16</v>
      </c>
      <c r="C157" s="2040" t="s">
        <v>2877</v>
      </c>
      <c r="D157" s="2040" t="s">
        <v>2878</v>
      </c>
      <c r="E157" s="2040" t="s">
        <v>2879</v>
      </c>
      <c r="F157" s="2040" t="s">
        <v>2430</v>
      </c>
      <c r="G157" s="2040" t="s">
        <v>2594</v>
      </c>
      <c r="H157" s="2040" t="s">
        <v>22</v>
      </c>
      <c r="I157" s="2040" t="s">
        <v>961</v>
      </c>
    </row>
    <row r="158" spans="1:9" ht="11.25" customHeight="1">
      <c r="A158" s="2040" t="s">
        <v>2388</v>
      </c>
      <c r="B158" s="2040" t="s">
        <v>16</v>
      </c>
      <c r="C158" s="2040" t="s">
        <v>2880</v>
      </c>
      <c r="D158" s="2040" t="s">
        <v>2881</v>
      </c>
      <c r="E158" s="2040" t="s">
        <v>2882</v>
      </c>
      <c r="F158" s="2040" t="s">
        <v>2757</v>
      </c>
      <c r="G158" s="2040" t="s">
        <v>2883</v>
      </c>
      <c r="H158" s="2040" t="s">
        <v>22</v>
      </c>
      <c r="I158" s="2040" t="s">
        <v>961</v>
      </c>
    </row>
    <row r="159" spans="1:9" ht="11.25" customHeight="1">
      <c r="A159" s="2040" t="s">
        <v>2388</v>
      </c>
      <c r="B159" s="2040" t="s">
        <v>16</v>
      </c>
      <c r="C159" s="2040" t="s">
        <v>2884</v>
      </c>
      <c r="D159" s="2040" t="s">
        <v>2885</v>
      </c>
      <c r="E159" s="2040" t="s">
        <v>2886</v>
      </c>
      <c r="F159" s="2040" t="s">
        <v>2440</v>
      </c>
      <c r="G159" s="2040" t="s">
        <v>2887</v>
      </c>
      <c r="H159" s="2040" t="s">
        <v>22</v>
      </c>
      <c r="I159" s="2040" t="s">
        <v>961</v>
      </c>
    </row>
    <row r="160" spans="1:9" ht="11.25" customHeight="1">
      <c r="A160" s="2040" t="s">
        <v>2388</v>
      </c>
      <c r="B160" s="2040" t="s">
        <v>16</v>
      </c>
      <c r="C160" s="2040" t="s">
        <v>2649</v>
      </c>
      <c r="D160" s="2040" t="s">
        <v>2650</v>
      </c>
      <c r="E160" s="2040" t="s">
        <v>2651</v>
      </c>
      <c r="F160" s="2040" t="s">
        <v>2652</v>
      </c>
      <c r="G160" s="2040" t="s">
        <v>2653</v>
      </c>
      <c r="H160" s="2040" t="s">
        <v>22</v>
      </c>
      <c r="I160" s="2040" t="s">
        <v>961</v>
      </c>
    </row>
    <row r="161" spans="1:9" ht="11.25" customHeight="1">
      <c r="A161" s="2040" t="s">
        <v>2388</v>
      </c>
      <c r="B161" s="2040" t="s">
        <v>16</v>
      </c>
      <c r="C161" s="2040" t="s">
        <v>22</v>
      </c>
      <c r="D161" s="2040" t="s">
        <v>2667</v>
      </c>
      <c r="E161" s="2040" t="s">
        <v>2668</v>
      </c>
      <c r="F161" s="2040" t="s">
        <v>2669</v>
      </c>
      <c r="G161" s="2040" t="s">
        <v>22</v>
      </c>
      <c r="H161" s="2040" t="s">
        <v>22</v>
      </c>
      <c r="I161" s="2040" t="s">
        <v>961</v>
      </c>
    </row>
    <row r="162" spans="1:9" ht="11.25" customHeight="1">
      <c r="A162" s="2040" t="s">
        <v>2388</v>
      </c>
      <c r="B162" s="2040" t="s">
        <v>16</v>
      </c>
      <c r="C162" s="2040" t="s">
        <v>2888</v>
      </c>
      <c r="D162" s="2040" t="s">
        <v>2889</v>
      </c>
      <c r="E162" s="2040" t="s">
        <v>2890</v>
      </c>
      <c r="F162" s="2040" t="s">
        <v>2454</v>
      </c>
      <c r="G162" s="2040" t="s">
        <v>2891</v>
      </c>
      <c r="H162" s="2040" t="s">
        <v>22</v>
      </c>
      <c r="I162" s="2040" t="s">
        <v>961</v>
      </c>
    </row>
    <row r="163" spans="1:9" ht="11.25" customHeight="1">
      <c r="A163" s="2040" t="s">
        <v>2388</v>
      </c>
      <c r="B163" s="2040" t="s">
        <v>16</v>
      </c>
      <c r="C163" s="2040" t="s">
        <v>2892</v>
      </c>
      <c r="D163" s="2040" t="s">
        <v>2893</v>
      </c>
      <c r="E163" s="2040" t="s">
        <v>2894</v>
      </c>
      <c r="F163" s="2040" t="s">
        <v>2762</v>
      </c>
      <c r="G163" s="2040" t="s">
        <v>2895</v>
      </c>
      <c r="H163" s="2040" t="s">
        <v>22</v>
      </c>
      <c r="I163" s="2040" t="s">
        <v>961</v>
      </c>
    </row>
    <row r="164" spans="1:9" ht="11.25" customHeight="1">
      <c r="A164" s="2040" t="s">
        <v>2388</v>
      </c>
      <c r="B164" s="2040" t="s">
        <v>16</v>
      </c>
      <c r="C164" s="2040" t="s">
        <v>2896</v>
      </c>
      <c r="D164" s="2040" t="s">
        <v>2897</v>
      </c>
      <c r="E164" s="2040" t="s">
        <v>2898</v>
      </c>
      <c r="F164" s="2040" t="s">
        <v>2727</v>
      </c>
      <c r="G164" s="2040" t="s">
        <v>2899</v>
      </c>
      <c r="H164" s="2040" t="s">
        <v>22</v>
      </c>
      <c r="I164" s="2040" t="s">
        <v>961</v>
      </c>
    </row>
    <row r="165" spans="1:9" ht="11.25" customHeight="1">
      <c r="A165" s="2040" t="s">
        <v>2388</v>
      </c>
      <c r="B165" s="2040" t="s">
        <v>16</v>
      </c>
      <c r="C165" s="2040" t="s">
        <v>2900</v>
      </c>
      <c r="D165" s="2040" t="s">
        <v>2901</v>
      </c>
      <c r="E165" s="2040" t="s">
        <v>2902</v>
      </c>
      <c r="F165" s="2040" t="s">
        <v>2762</v>
      </c>
      <c r="G165" s="2040" t="s">
        <v>2903</v>
      </c>
      <c r="H165" s="2040" t="s">
        <v>22</v>
      </c>
      <c r="I165" s="2040" t="s">
        <v>961</v>
      </c>
    </row>
    <row r="166" spans="1:9" ht="11.25" customHeight="1">
      <c r="A166" s="2040" t="s">
        <v>2388</v>
      </c>
      <c r="B166" s="2040" t="s">
        <v>16</v>
      </c>
      <c r="C166" s="2040" t="s">
        <v>2675</v>
      </c>
      <c r="D166" s="2040" t="s">
        <v>2676</v>
      </c>
      <c r="E166" s="2040" t="s">
        <v>2677</v>
      </c>
      <c r="F166" s="2040" t="s">
        <v>2678</v>
      </c>
      <c r="G166" s="2040" t="s">
        <v>22</v>
      </c>
      <c r="H166" s="2040" t="s">
        <v>22</v>
      </c>
      <c r="I166" s="2040" t="s">
        <v>961</v>
      </c>
    </row>
    <row r="167" spans="1:9" ht="11.25" customHeight="1">
      <c r="A167" s="2040" t="s">
        <v>2388</v>
      </c>
      <c r="B167" s="2040" t="s">
        <v>16</v>
      </c>
      <c r="C167" s="2040" t="s">
        <v>2679</v>
      </c>
      <c r="D167" s="2040" t="s">
        <v>2680</v>
      </c>
      <c r="E167" s="2040" t="s">
        <v>2681</v>
      </c>
      <c r="F167" s="2040" t="s">
        <v>2682</v>
      </c>
      <c r="G167" s="2040" t="s">
        <v>2683</v>
      </c>
      <c r="H167" s="2040" t="s">
        <v>22</v>
      </c>
      <c r="I167" s="2040" t="s">
        <v>961</v>
      </c>
    </row>
    <row r="168" spans="1:9" ht="11.25" customHeight="1">
      <c r="A168" s="2040" t="s">
        <v>2388</v>
      </c>
      <c r="B168" s="2040" t="s">
        <v>16</v>
      </c>
      <c r="C168" s="2040" t="s">
        <v>2687</v>
      </c>
      <c r="D168" s="2040" t="s">
        <v>2688</v>
      </c>
      <c r="E168" s="2040" t="s">
        <v>2689</v>
      </c>
      <c r="F168" s="2040" t="s">
        <v>2690</v>
      </c>
      <c r="G168" s="2040" t="s">
        <v>2512</v>
      </c>
      <c r="H168" s="2040" t="s">
        <v>22</v>
      </c>
      <c r="I168" s="2040" t="s">
        <v>961</v>
      </c>
    </row>
    <row r="169" spans="1:9" ht="11.25" customHeight="1">
      <c r="A169" s="2040" t="s">
        <v>2388</v>
      </c>
      <c r="B169" s="2040" t="s">
        <v>16</v>
      </c>
      <c r="C169" s="2040" t="s">
        <v>2904</v>
      </c>
      <c r="D169" s="2040" t="s">
        <v>2905</v>
      </c>
      <c r="E169" s="2040" t="s">
        <v>2906</v>
      </c>
      <c r="F169" s="2040" t="s">
        <v>2757</v>
      </c>
      <c r="G169" s="2040" t="s">
        <v>2907</v>
      </c>
      <c r="H169" s="2040" t="s">
        <v>22</v>
      </c>
      <c r="I169" s="2040" t="s">
        <v>961</v>
      </c>
    </row>
    <row r="170" spans="1:9" ht="11.25" customHeight="1">
      <c r="A170" s="2040" t="s">
        <v>2388</v>
      </c>
      <c r="B170" s="2040" t="s">
        <v>16</v>
      </c>
      <c r="C170" s="2040" t="s">
        <v>2691</v>
      </c>
      <c r="D170" s="2040" t="s">
        <v>2692</v>
      </c>
      <c r="E170" s="2040" t="s">
        <v>2693</v>
      </c>
      <c r="F170" s="2040" t="s">
        <v>2694</v>
      </c>
      <c r="G170" s="2040" t="s">
        <v>2695</v>
      </c>
      <c r="H170" s="2040" t="s">
        <v>22</v>
      </c>
      <c r="I170" s="2040" t="s">
        <v>961</v>
      </c>
    </row>
    <row r="171" spans="1:9" ht="11.25" customHeight="1">
      <c r="A171" s="2040" t="s">
        <v>2388</v>
      </c>
      <c r="B171" s="2040" t="s">
        <v>16</v>
      </c>
      <c r="C171" s="2040" t="s">
        <v>2703</v>
      </c>
      <c r="D171" s="2040" t="s">
        <v>2704</v>
      </c>
      <c r="E171" s="2040" t="s">
        <v>2705</v>
      </c>
      <c r="F171" s="2040" t="s">
        <v>2397</v>
      </c>
      <c r="G171" s="2040" t="s">
        <v>2706</v>
      </c>
      <c r="H171" s="2040" t="s">
        <v>22</v>
      </c>
      <c r="I171" s="2040" t="s">
        <v>1014</v>
      </c>
    </row>
    <row r="172" spans="1:9" ht="11.25" customHeight="1">
      <c r="A172" s="2040" t="s">
        <v>2388</v>
      </c>
      <c r="B172" s="2040" t="s">
        <v>16</v>
      </c>
      <c r="C172" s="2040" t="s">
        <v>2399</v>
      </c>
      <c r="D172" s="2040" t="s">
        <v>2400</v>
      </c>
      <c r="E172" s="2040" t="s">
        <v>2401</v>
      </c>
      <c r="F172" s="2040" t="s">
        <v>2397</v>
      </c>
      <c r="G172" s="2040" t="s">
        <v>2402</v>
      </c>
      <c r="H172" s="2040" t="s">
        <v>22</v>
      </c>
      <c r="I172" s="2040" t="s">
        <v>1014</v>
      </c>
    </row>
    <row r="173" spans="1:9" ht="11.25" customHeight="1">
      <c r="A173" s="2040" t="s">
        <v>2388</v>
      </c>
      <c r="B173" s="2040" t="s">
        <v>16</v>
      </c>
      <c r="C173" s="2040" t="s">
        <v>2451</v>
      </c>
      <c r="D173" s="2040" t="s">
        <v>2452</v>
      </c>
      <c r="E173" s="2040" t="s">
        <v>2453</v>
      </c>
      <c r="F173" s="2040" t="s">
        <v>2454</v>
      </c>
      <c r="G173" s="2040" t="s">
        <v>2455</v>
      </c>
      <c r="H173" s="2040" t="s">
        <v>22</v>
      </c>
      <c r="I173" s="2040" t="s">
        <v>1014</v>
      </c>
    </row>
    <row r="174" spans="1:9" ht="11.25" customHeight="1">
      <c r="A174" s="2040" t="s">
        <v>2388</v>
      </c>
      <c r="B174" s="2040" t="s">
        <v>16</v>
      </c>
      <c r="C174" s="2040" t="s">
        <v>2729</v>
      </c>
      <c r="D174" s="2040" t="s">
        <v>2730</v>
      </c>
      <c r="E174" s="2040" t="s">
        <v>2731</v>
      </c>
      <c r="F174" s="2040" t="s">
        <v>2727</v>
      </c>
      <c r="G174" s="2040" t="s">
        <v>2732</v>
      </c>
      <c r="H174" s="2040" t="s">
        <v>22</v>
      </c>
      <c r="I174" s="2040" t="s">
        <v>1014</v>
      </c>
    </row>
    <row r="175" spans="1:9" ht="11.25" customHeight="1">
      <c r="A175" s="2040" t="s">
        <v>2388</v>
      </c>
      <c r="B175" s="2040" t="s">
        <v>16</v>
      </c>
      <c r="C175" s="2040" t="s">
        <v>2737</v>
      </c>
      <c r="D175" s="2040" t="s">
        <v>2738</v>
      </c>
      <c r="E175" s="2040" t="s">
        <v>2739</v>
      </c>
      <c r="F175" s="2040" t="s">
        <v>2638</v>
      </c>
      <c r="G175" s="2040" t="s">
        <v>2740</v>
      </c>
      <c r="H175" s="2040" t="s">
        <v>22</v>
      </c>
      <c r="I175" s="2040" t="s">
        <v>1014</v>
      </c>
    </row>
    <row r="176" spans="1:9" ht="11.25" customHeight="1">
      <c r="A176" s="2040" t="s">
        <v>2388</v>
      </c>
      <c r="B176" s="2040" t="s">
        <v>16</v>
      </c>
      <c r="C176" s="2040" t="s">
        <v>2468</v>
      </c>
      <c r="D176" s="2040" t="s">
        <v>2469</v>
      </c>
      <c r="E176" s="2040" t="s">
        <v>2470</v>
      </c>
      <c r="F176" s="2040" t="s">
        <v>2430</v>
      </c>
      <c r="G176" s="2040" t="s">
        <v>2471</v>
      </c>
      <c r="H176" s="2040" t="s">
        <v>22</v>
      </c>
      <c r="I176" s="2040" t="s">
        <v>1014</v>
      </c>
    </row>
    <row r="177" spans="1:9" ht="11.25" customHeight="1">
      <c r="A177" s="2040" t="s">
        <v>2388</v>
      </c>
      <c r="B177" s="2040" t="s">
        <v>16</v>
      </c>
      <c r="C177" s="2040" t="s">
        <v>2472</v>
      </c>
      <c r="D177" s="2040" t="s">
        <v>2473</v>
      </c>
      <c r="E177" s="2040" t="s">
        <v>2474</v>
      </c>
      <c r="F177" s="2040" t="s">
        <v>2418</v>
      </c>
      <c r="G177" s="2040" t="s">
        <v>2475</v>
      </c>
      <c r="H177" s="2040" t="s">
        <v>22</v>
      </c>
      <c r="I177" s="2040" t="s">
        <v>1014</v>
      </c>
    </row>
    <row r="178" spans="1:9" ht="11.25" customHeight="1">
      <c r="A178" s="2040" t="s">
        <v>2388</v>
      </c>
      <c r="B178" s="2040" t="s">
        <v>16</v>
      </c>
      <c r="C178" s="2040" t="s">
        <v>2908</v>
      </c>
      <c r="D178" s="2040" t="s">
        <v>2909</v>
      </c>
      <c r="E178" s="2040" t="s">
        <v>2910</v>
      </c>
      <c r="F178" s="2040" t="s">
        <v>2430</v>
      </c>
      <c r="G178" s="2040" t="s">
        <v>2911</v>
      </c>
      <c r="H178" s="2040" t="s">
        <v>22</v>
      </c>
      <c r="I178" s="2040" t="s">
        <v>1014</v>
      </c>
    </row>
    <row r="179" spans="1:9" ht="11.25" customHeight="1">
      <c r="A179" s="2040" t="s">
        <v>2388</v>
      </c>
      <c r="B179" s="2040" t="s">
        <v>16</v>
      </c>
      <c r="C179" s="2040" t="s">
        <v>2745</v>
      </c>
      <c r="D179" s="2040" t="s">
        <v>2746</v>
      </c>
      <c r="E179" s="2040" t="s">
        <v>2747</v>
      </c>
      <c r="F179" s="2040" t="s">
        <v>2582</v>
      </c>
      <c r="G179" s="2040" t="s">
        <v>2748</v>
      </c>
      <c r="H179" s="2040" t="s">
        <v>2749</v>
      </c>
      <c r="I179" s="2040" t="s">
        <v>1014</v>
      </c>
    </row>
    <row r="180" spans="1:9" ht="11.25" customHeight="1">
      <c r="A180" s="2040" t="s">
        <v>2388</v>
      </c>
      <c r="B180" s="2040" t="s">
        <v>16</v>
      </c>
      <c r="C180" s="2040" t="s">
        <v>2777</v>
      </c>
      <c r="D180" s="2040" t="s">
        <v>2778</v>
      </c>
      <c r="E180" s="2040" t="s">
        <v>2779</v>
      </c>
      <c r="F180" s="2040" t="s">
        <v>2430</v>
      </c>
      <c r="G180" s="2040" t="s">
        <v>2780</v>
      </c>
      <c r="H180" s="2040" t="s">
        <v>22</v>
      </c>
      <c r="I180" s="2040" t="s">
        <v>1014</v>
      </c>
    </row>
    <row r="181" spans="1:9" ht="11.25" customHeight="1">
      <c r="A181" s="2040" t="s">
        <v>2388</v>
      </c>
      <c r="B181" s="2040" t="s">
        <v>16</v>
      </c>
      <c r="C181" s="2040" t="s">
        <v>2912</v>
      </c>
      <c r="D181" s="2040" t="s">
        <v>2913</v>
      </c>
      <c r="E181" s="2040" t="s">
        <v>2914</v>
      </c>
      <c r="F181" s="2040" t="s">
        <v>2521</v>
      </c>
      <c r="G181" s="2040" t="s">
        <v>2915</v>
      </c>
      <c r="H181" s="2040" t="s">
        <v>22</v>
      </c>
      <c r="I181" s="2040" t="s">
        <v>1014</v>
      </c>
    </row>
    <row r="182" spans="1:9" ht="11.25" customHeight="1">
      <c r="A182" s="2040" t="s">
        <v>2388</v>
      </c>
      <c r="B182" s="2040" t="s">
        <v>16</v>
      </c>
      <c r="C182" s="2040" t="s">
        <v>2538</v>
      </c>
      <c r="D182" s="2040" t="s">
        <v>2539</v>
      </c>
      <c r="E182" s="2040" t="s">
        <v>2540</v>
      </c>
      <c r="F182" s="2040" t="s">
        <v>2418</v>
      </c>
      <c r="G182" s="2040" t="s">
        <v>2541</v>
      </c>
      <c r="H182" s="2040" t="s">
        <v>22</v>
      </c>
      <c r="I182" s="2040" t="s">
        <v>1014</v>
      </c>
    </row>
    <row r="183" spans="1:9" ht="11.25" customHeight="1">
      <c r="A183" s="2040" t="s">
        <v>2388</v>
      </c>
      <c r="B183" s="2040" t="s">
        <v>16</v>
      </c>
      <c r="C183" s="2040" t="s">
        <v>2916</v>
      </c>
      <c r="D183" s="2040" t="s">
        <v>2917</v>
      </c>
      <c r="E183" s="2040" t="s">
        <v>2918</v>
      </c>
      <c r="F183" s="2040" t="s">
        <v>2919</v>
      </c>
      <c r="G183" s="2040" t="s">
        <v>22</v>
      </c>
      <c r="H183" s="2040" t="s">
        <v>22</v>
      </c>
      <c r="I183" s="2040" t="s">
        <v>1014</v>
      </c>
    </row>
    <row r="184" spans="1:9" ht="11.25" customHeight="1">
      <c r="A184" s="2040" t="s">
        <v>2388</v>
      </c>
      <c r="B184" s="2040" t="s">
        <v>16</v>
      </c>
      <c r="C184" s="2040" t="s">
        <v>2857</v>
      </c>
      <c r="D184" s="2040" t="s">
        <v>2858</v>
      </c>
      <c r="E184" s="2040" t="s">
        <v>2859</v>
      </c>
      <c r="F184" s="2040" t="s">
        <v>2454</v>
      </c>
      <c r="G184" s="2040" t="s">
        <v>2849</v>
      </c>
      <c r="H184" s="2040" t="s">
        <v>22</v>
      </c>
      <c r="I184" s="2040" t="s">
        <v>1014</v>
      </c>
    </row>
    <row r="185" spans="1:9" ht="11.25" customHeight="1">
      <c r="A185" s="2040" t="s">
        <v>2388</v>
      </c>
      <c r="B185" s="2040" t="s">
        <v>16</v>
      </c>
      <c r="C185" s="2040" t="s">
        <v>2563</v>
      </c>
      <c r="D185" s="2040" t="s">
        <v>2564</v>
      </c>
      <c r="E185" s="2040" t="s">
        <v>2565</v>
      </c>
      <c r="F185" s="2040" t="s">
        <v>2454</v>
      </c>
      <c r="G185" s="2040" t="s">
        <v>2566</v>
      </c>
      <c r="H185" s="2040" t="s">
        <v>22</v>
      </c>
      <c r="I185" s="2040" t="s">
        <v>1014</v>
      </c>
    </row>
    <row r="186" spans="1:9" ht="11.25" customHeight="1">
      <c r="A186" s="2040" t="s">
        <v>2388</v>
      </c>
      <c r="B186" s="2040" t="s">
        <v>16</v>
      </c>
      <c r="C186" s="2040" t="s">
        <v>2860</v>
      </c>
      <c r="D186" s="2040" t="s">
        <v>2861</v>
      </c>
      <c r="E186" s="2040" t="s">
        <v>2862</v>
      </c>
      <c r="F186" s="2040" t="s">
        <v>2863</v>
      </c>
      <c r="G186" s="2040" t="s">
        <v>2864</v>
      </c>
      <c r="H186" s="2040" t="s">
        <v>22</v>
      </c>
      <c r="I186" s="2040" t="s">
        <v>1014</v>
      </c>
    </row>
    <row r="187" spans="1:9" ht="11.25" customHeight="1">
      <c r="A187" s="2040" t="s">
        <v>2388</v>
      </c>
      <c r="B187" s="2040" t="s">
        <v>16</v>
      </c>
      <c r="C187" s="2040" t="s">
        <v>2567</v>
      </c>
      <c r="D187" s="2040" t="s">
        <v>2568</v>
      </c>
      <c r="E187" s="2040" t="s">
        <v>2569</v>
      </c>
      <c r="F187" s="2040" t="s">
        <v>2570</v>
      </c>
      <c r="G187" s="2040" t="s">
        <v>2571</v>
      </c>
      <c r="H187" s="2040" t="s">
        <v>22</v>
      </c>
      <c r="I187" s="2040" t="s">
        <v>1014</v>
      </c>
    </row>
    <row r="188" spans="1:9" ht="11.25" customHeight="1">
      <c r="A188" s="2040" t="s">
        <v>2388</v>
      </c>
      <c r="B188" s="2040" t="s">
        <v>16</v>
      </c>
      <c r="C188" s="2040" t="s">
        <v>2873</v>
      </c>
      <c r="D188" s="2040" t="s">
        <v>2874</v>
      </c>
      <c r="E188" s="2040" t="s">
        <v>2875</v>
      </c>
      <c r="F188" s="2040" t="s">
        <v>2582</v>
      </c>
      <c r="G188" s="2040" t="s">
        <v>2876</v>
      </c>
      <c r="H188" s="2040" t="s">
        <v>22</v>
      </c>
      <c r="I188" s="2040" t="s">
        <v>1014</v>
      </c>
    </row>
    <row r="189" spans="1:9" ht="11.25" customHeight="1">
      <c r="A189" s="2040" t="s">
        <v>2388</v>
      </c>
      <c r="B189" s="2040" t="s">
        <v>16</v>
      </c>
      <c r="C189" s="2040" t="s">
        <v>2877</v>
      </c>
      <c r="D189" s="2040" t="s">
        <v>2878</v>
      </c>
      <c r="E189" s="2040" t="s">
        <v>2879</v>
      </c>
      <c r="F189" s="2040" t="s">
        <v>2430</v>
      </c>
      <c r="G189" s="2040" t="s">
        <v>2594</v>
      </c>
      <c r="H189" s="2040" t="s">
        <v>22</v>
      </c>
      <c r="I189" s="2040" t="s">
        <v>1014</v>
      </c>
    </row>
    <row r="190" spans="1:9" ht="11.25" customHeight="1">
      <c r="A190" s="2040" t="s">
        <v>2388</v>
      </c>
      <c r="B190" s="2040" t="s">
        <v>16</v>
      </c>
      <c r="C190" s="2040" t="s">
        <v>2920</v>
      </c>
      <c r="D190" s="2040" t="s">
        <v>2921</v>
      </c>
      <c r="E190" s="2040" t="s">
        <v>2922</v>
      </c>
      <c r="F190" s="2040" t="s">
        <v>2392</v>
      </c>
      <c r="G190" s="2040" t="s">
        <v>2923</v>
      </c>
      <c r="H190" s="2040" t="s">
        <v>22</v>
      </c>
      <c r="I190" s="2040" t="s">
        <v>1014</v>
      </c>
    </row>
    <row r="191" spans="1:9" ht="11.25" customHeight="1">
      <c r="A191" s="2040" t="s">
        <v>2388</v>
      </c>
      <c r="B191" s="2040" t="s">
        <v>16</v>
      </c>
      <c r="C191" s="2040" t="s">
        <v>2924</v>
      </c>
      <c r="D191" s="2040" t="s">
        <v>2925</v>
      </c>
      <c r="E191" s="2040" t="s">
        <v>2926</v>
      </c>
      <c r="F191" s="2040" t="s">
        <v>2638</v>
      </c>
      <c r="G191" s="2040" t="s">
        <v>2927</v>
      </c>
      <c r="H191" s="2040" t="s">
        <v>22</v>
      </c>
      <c r="I191" s="2040" t="s">
        <v>1014</v>
      </c>
    </row>
    <row r="192" spans="1:9" ht="11.25" customHeight="1">
      <c r="A192" s="2040" t="s">
        <v>2388</v>
      </c>
      <c r="B192" s="2040" t="s">
        <v>16</v>
      </c>
      <c r="C192" s="2040" t="s">
        <v>2928</v>
      </c>
      <c r="D192" s="2040" t="s">
        <v>2929</v>
      </c>
      <c r="E192" s="2040" t="s">
        <v>2930</v>
      </c>
      <c r="F192" s="2040" t="s">
        <v>2931</v>
      </c>
      <c r="G192" s="2040" t="s">
        <v>2932</v>
      </c>
      <c r="H192" s="2040" t="s">
        <v>22</v>
      </c>
      <c r="I192" s="2040" t="s">
        <v>1014</v>
      </c>
    </row>
    <row r="193" spans="1:9" ht="11.25" customHeight="1">
      <c r="A193" s="2040" t="s">
        <v>2388</v>
      </c>
      <c r="B193" s="2040" t="s">
        <v>16</v>
      </c>
      <c r="C193" s="2040" t="s">
        <v>2933</v>
      </c>
      <c r="D193" s="2040" t="s">
        <v>2934</v>
      </c>
      <c r="E193" s="2040" t="s">
        <v>2935</v>
      </c>
      <c r="F193" s="2040" t="s">
        <v>2454</v>
      </c>
      <c r="G193" s="2040" t="s">
        <v>2936</v>
      </c>
      <c r="H193" s="2040" t="s">
        <v>22</v>
      </c>
      <c r="I193" s="2040" t="s">
        <v>1014</v>
      </c>
    </row>
    <row r="194" spans="1:9" ht="11.25" customHeight="1">
      <c r="A194" s="2040" t="s">
        <v>2388</v>
      </c>
      <c r="B194" s="2040" t="s">
        <v>16</v>
      </c>
      <c r="C194" s="2040" t="s">
        <v>2640</v>
      </c>
      <c r="D194" s="2040" t="s">
        <v>2641</v>
      </c>
      <c r="E194" s="2040" t="s">
        <v>2642</v>
      </c>
      <c r="F194" s="2040" t="s">
        <v>2643</v>
      </c>
      <c r="G194" s="2040" t="s">
        <v>2644</v>
      </c>
      <c r="H194" s="2040" t="s">
        <v>22</v>
      </c>
      <c r="I194" s="2040" t="s">
        <v>1014</v>
      </c>
    </row>
    <row r="195" spans="1:9" ht="11.25" customHeight="1">
      <c r="A195" s="2040" t="s">
        <v>2388</v>
      </c>
      <c r="B195" s="2040" t="s">
        <v>16</v>
      </c>
      <c r="C195" s="2040" t="s">
        <v>2884</v>
      </c>
      <c r="D195" s="2040" t="s">
        <v>2885</v>
      </c>
      <c r="E195" s="2040" t="s">
        <v>2886</v>
      </c>
      <c r="F195" s="2040" t="s">
        <v>2440</v>
      </c>
      <c r="G195" s="2040" t="s">
        <v>2887</v>
      </c>
      <c r="H195" s="2040" t="s">
        <v>22</v>
      </c>
      <c r="I195" s="2040" t="s">
        <v>1014</v>
      </c>
    </row>
    <row r="196" spans="1:9" ht="11.25" customHeight="1">
      <c r="A196" s="2040" t="s">
        <v>2388</v>
      </c>
      <c r="B196" s="2040" t="s">
        <v>16</v>
      </c>
      <c r="C196" s="2040" t="s">
        <v>2649</v>
      </c>
      <c r="D196" s="2040" t="s">
        <v>2650</v>
      </c>
      <c r="E196" s="2040" t="s">
        <v>2651</v>
      </c>
      <c r="F196" s="2040" t="s">
        <v>2652</v>
      </c>
      <c r="G196" s="2040" t="s">
        <v>2653</v>
      </c>
      <c r="H196" s="2040" t="s">
        <v>22</v>
      </c>
      <c r="I196" s="2040" t="s">
        <v>1014</v>
      </c>
    </row>
    <row r="197" spans="1:9" ht="11.25" customHeight="1">
      <c r="A197" s="2040" t="s">
        <v>2388</v>
      </c>
      <c r="B197" s="2040" t="s">
        <v>16</v>
      </c>
      <c r="C197" s="2040" t="s">
        <v>22</v>
      </c>
      <c r="D197" s="2040" t="s">
        <v>2667</v>
      </c>
      <c r="E197" s="2040" t="s">
        <v>2668</v>
      </c>
      <c r="F197" s="2040" t="s">
        <v>2669</v>
      </c>
      <c r="G197" s="2040" t="s">
        <v>22</v>
      </c>
      <c r="H197" s="2040" t="s">
        <v>22</v>
      </c>
      <c r="I197" s="2040" t="s">
        <v>1014</v>
      </c>
    </row>
    <row r="198" spans="1:9" ht="11.25" customHeight="1">
      <c r="A198" s="2040" t="s">
        <v>2388</v>
      </c>
      <c r="B198" s="2040" t="s">
        <v>16</v>
      </c>
      <c r="C198" s="2040" t="s">
        <v>2675</v>
      </c>
      <c r="D198" s="2040" t="s">
        <v>2676</v>
      </c>
      <c r="E198" s="2040" t="s">
        <v>2677</v>
      </c>
      <c r="F198" s="2040" t="s">
        <v>2678</v>
      </c>
      <c r="G198" s="2040" t="s">
        <v>22</v>
      </c>
      <c r="H198" s="2040" t="s">
        <v>22</v>
      </c>
      <c r="I198" s="2040" t="s">
        <v>1014</v>
      </c>
    </row>
    <row r="199" spans="1:9" ht="11.25" customHeight="1">
      <c r="A199" s="2040" t="s">
        <v>2388</v>
      </c>
      <c r="B199" s="2040" t="s">
        <v>16</v>
      </c>
      <c r="C199" s="2040" t="s">
        <v>2679</v>
      </c>
      <c r="D199" s="2040" t="s">
        <v>2680</v>
      </c>
      <c r="E199" s="2040" t="s">
        <v>2681</v>
      </c>
      <c r="F199" s="2040" t="s">
        <v>2682</v>
      </c>
      <c r="G199" s="2040" t="s">
        <v>2683</v>
      </c>
      <c r="H199" s="2040" t="s">
        <v>22</v>
      </c>
      <c r="I199" s="2040" t="s">
        <v>1014</v>
      </c>
    </row>
    <row r="200" spans="1:9" ht="11.25" customHeight="1">
      <c r="A200" s="2040" t="s">
        <v>2388</v>
      </c>
      <c r="B200" s="2040" t="s">
        <v>16</v>
      </c>
      <c r="C200" s="2040" t="s">
        <v>2687</v>
      </c>
      <c r="D200" s="2040" t="s">
        <v>2688</v>
      </c>
      <c r="E200" s="2040" t="s">
        <v>2689</v>
      </c>
      <c r="F200" s="2040" t="s">
        <v>2690</v>
      </c>
      <c r="G200" s="2040" t="s">
        <v>2512</v>
      </c>
      <c r="H200" s="2040" t="s">
        <v>22</v>
      </c>
      <c r="I200" s="2040" t="s">
        <v>1014</v>
      </c>
    </row>
    <row r="201" spans="1:9" ht="11.25" customHeight="1">
      <c r="A201" s="2040" t="s">
        <v>2388</v>
      </c>
      <c r="B201" s="2040" t="s">
        <v>16</v>
      </c>
      <c r="C201" s="2040" t="s">
        <v>2691</v>
      </c>
      <c r="D201" s="2040" t="s">
        <v>2692</v>
      </c>
      <c r="E201" s="2040" t="s">
        <v>2693</v>
      </c>
      <c r="F201" s="2040" t="s">
        <v>2694</v>
      </c>
      <c r="G201" s="2040" t="s">
        <v>2695</v>
      </c>
      <c r="H201" s="2040" t="s">
        <v>22</v>
      </c>
      <c r="I201" s="2040" t="s">
        <v>1014</v>
      </c>
    </row>
    <row r="202" spans="1:9" ht="11.25" customHeight="1">
      <c r="A202" s="2040" t="s">
        <v>2388</v>
      </c>
      <c r="B202" s="2040" t="s">
        <v>16</v>
      </c>
      <c r="C202" s="2040" t="s">
        <v>2403</v>
      </c>
      <c r="D202" s="2040" t="s">
        <v>2404</v>
      </c>
      <c r="E202" s="2040" t="s">
        <v>2405</v>
      </c>
      <c r="F202" s="2040" t="s">
        <v>50</v>
      </c>
      <c r="G202" s="2040" t="s">
        <v>2406</v>
      </c>
      <c r="H202" s="2040" t="s">
        <v>22</v>
      </c>
      <c r="I202" s="2040" t="s">
        <v>1770</v>
      </c>
    </row>
    <row r="203" spans="1:9" ht="11.25" customHeight="1">
      <c r="A203" s="2040" t="s">
        <v>2388</v>
      </c>
      <c r="B203" s="2040" t="s">
        <v>16</v>
      </c>
      <c r="C203" s="2040" t="s">
        <v>2937</v>
      </c>
      <c r="D203" s="2040" t="s">
        <v>2938</v>
      </c>
      <c r="E203" s="2040" t="s">
        <v>2939</v>
      </c>
      <c r="F203" s="2040" t="s">
        <v>578</v>
      </c>
      <c r="G203" s="2040" t="s">
        <v>2940</v>
      </c>
      <c r="H203" s="2040" t="s">
        <v>22</v>
      </c>
      <c r="I203" s="2040" t="s">
        <v>1770</v>
      </c>
    </row>
    <row r="204" spans="1:9" ht="11.25" customHeight="1">
      <c r="A204" s="2040" t="s">
        <v>2388</v>
      </c>
      <c r="B204" s="2040" t="s">
        <v>16</v>
      </c>
      <c r="C204" s="2040" t="s">
        <v>2941</v>
      </c>
      <c r="D204" s="2040" t="s">
        <v>2942</v>
      </c>
      <c r="E204" s="2040" t="s">
        <v>2943</v>
      </c>
      <c r="F204" s="2040" t="s">
        <v>578</v>
      </c>
      <c r="G204" s="2040" t="s">
        <v>2944</v>
      </c>
      <c r="H204" s="2040" t="s">
        <v>22</v>
      </c>
      <c r="I204" s="2040" t="s">
        <v>1770</v>
      </c>
    </row>
    <row r="205" spans="1:9" ht="11.25" customHeight="1">
      <c r="A205" s="2040" t="s">
        <v>2388</v>
      </c>
      <c r="B205" s="2040" t="s">
        <v>16</v>
      </c>
      <c r="C205" s="2040" t="s">
        <v>2945</v>
      </c>
      <c r="D205" s="2040" t="s">
        <v>2946</v>
      </c>
      <c r="E205" s="2040" t="s">
        <v>2947</v>
      </c>
      <c r="F205" s="2040" t="s">
        <v>578</v>
      </c>
      <c r="G205" s="2040" t="s">
        <v>2944</v>
      </c>
      <c r="H205" s="2040" t="s">
        <v>22</v>
      </c>
      <c r="I205" s="2040" t="s">
        <v>1770</v>
      </c>
    </row>
    <row r="206" spans="1:9" ht="11.25" customHeight="1">
      <c r="A206" s="2040" t="s">
        <v>2388</v>
      </c>
      <c r="B206" s="2040" t="s">
        <v>16</v>
      </c>
      <c r="C206" s="2040" t="s">
        <v>2948</v>
      </c>
      <c r="D206" s="2040" t="s">
        <v>2949</v>
      </c>
      <c r="E206" s="2040" t="s">
        <v>2950</v>
      </c>
      <c r="F206" s="2040" t="s">
        <v>578</v>
      </c>
      <c r="G206" s="2040" t="s">
        <v>2951</v>
      </c>
      <c r="H206" s="2040" t="s">
        <v>22</v>
      </c>
      <c r="I206" s="2040" t="s">
        <v>1770</v>
      </c>
    </row>
    <row r="207" spans="1:9" ht="11.25" customHeight="1">
      <c r="A207" s="2040" t="s">
        <v>2388</v>
      </c>
      <c r="B207" s="2040" t="s">
        <v>16</v>
      </c>
      <c r="C207" s="2040" t="s">
        <v>2952</v>
      </c>
      <c r="D207" s="2040" t="s">
        <v>2953</v>
      </c>
      <c r="E207" s="2040" t="s">
        <v>2954</v>
      </c>
      <c r="F207" s="2040" t="s">
        <v>578</v>
      </c>
      <c r="G207" s="2040" t="s">
        <v>2955</v>
      </c>
      <c r="H207" s="2040" t="s">
        <v>22</v>
      </c>
      <c r="I207" s="2040" t="s">
        <v>1770</v>
      </c>
    </row>
    <row r="208" spans="1:9" ht="11.25" customHeight="1">
      <c r="A208" s="2040" t="s">
        <v>2388</v>
      </c>
      <c r="B208" s="2040" t="s">
        <v>16</v>
      </c>
      <c r="C208" s="2040" t="s">
        <v>2956</v>
      </c>
      <c r="D208" s="2040" t="s">
        <v>2957</v>
      </c>
      <c r="E208" s="2040" t="s">
        <v>2958</v>
      </c>
      <c r="F208" s="2040" t="s">
        <v>578</v>
      </c>
      <c r="G208" s="2040" t="s">
        <v>22</v>
      </c>
      <c r="H208" s="2040" t="s">
        <v>22</v>
      </c>
      <c r="I208" s="2040" t="s">
        <v>1770</v>
      </c>
    </row>
    <row r="209" spans="1:9" ht="11.25" customHeight="1">
      <c r="A209" s="2040" t="s">
        <v>2388</v>
      </c>
      <c r="B209" s="2040" t="s">
        <v>16</v>
      </c>
      <c r="C209" s="2040" t="s">
        <v>2959</v>
      </c>
      <c r="D209" s="2040" t="s">
        <v>2960</v>
      </c>
      <c r="E209" s="2040" t="s">
        <v>2961</v>
      </c>
      <c r="F209" s="2040" t="s">
        <v>578</v>
      </c>
      <c r="G209" s="2040" t="s">
        <v>2962</v>
      </c>
      <c r="H209" s="2040" t="s">
        <v>22</v>
      </c>
      <c r="I209" s="2040" t="s">
        <v>1770</v>
      </c>
    </row>
    <row r="210" spans="1:9" ht="11.25" customHeight="1">
      <c r="A210" s="2040" t="s">
        <v>2388</v>
      </c>
      <c r="B210" s="2040" t="s">
        <v>16</v>
      </c>
      <c r="C210" s="2040" t="s">
        <v>2963</v>
      </c>
      <c r="D210" s="2040" t="s">
        <v>2964</v>
      </c>
      <c r="E210" s="2040" t="s">
        <v>2965</v>
      </c>
      <c r="F210" s="2040" t="s">
        <v>578</v>
      </c>
      <c r="G210" s="2040" t="s">
        <v>2966</v>
      </c>
      <c r="H210" s="2040" t="s">
        <v>22</v>
      </c>
      <c r="I210" s="2040" t="s">
        <v>1770</v>
      </c>
    </row>
    <row r="211" spans="1:9" ht="11.25" customHeight="1">
      <c r="A211" s="2040" t="s">
        <v>2388</v>
      </c>
      <c r="B211" s="2040" t="s">
        <v>16</v>
      </c>
      <c r="C211" s="2040" t="s">
        <v>2967</v>
      </c>
      <c r="D211" s="2040" t="s">
        <v>2968</v>
      </c>
      <c r="E211" s="2040" t="s">
        <v>2969</v>
      </c>
      <c r="F211" s="2040" t="s">
        <v>578</v>
      </c>
      <c r="G211" s="2040" t="s">
        <v>2970</v>
      </c>
      <c r="H211" s="2040" t="s">
        <v>22</v>
      </c>
      <c r="I211" s="2040" t="s">
        <v>1770</v>
      </c>
    </row>
    <row r="212" spans="1:9" ht="11.25" customHeight="1">
      <c r="A212" s="2040" t="s">
        <v>2388</v>
      </c>
      <c r="B212" s="2040" t="s">
        <v>16</v>
      </c>
      <c r="C212" s="2040" t="s">
        <v>2971</v>
      </c>
      <c r="D212" s="2040" t="s">
        <v>2972</v>
      </c>
      <c r="E212" s="2040" t="s">
        <v>2973</v>
      </c>
      <c r="F212" s="2040" t="s">
        <v>578</v>
      </c>
      <c r="G212" s="2040" t="s">
        <v>2944</v>
      </c>
      <c r="H212" s="2040" t="s">
        <v>22</v>
      </c>
      <c r="I212" s="2040" t="s">
        <v>1770</v>
      </c>
    </row>
    <row r="213" spans="1:9" ht="11.25" customHeight="1">
      <c r="A213" s="2040" t="s">
        <v>2388</v>
      </c>
      <c r="B213" s="2040" t="s">
        <v>16</v>
      </c>
      <c r="C213" s="2040" t="s">
        <v>2974</v>
      </c>
      <c r="D213" s="2040" t="s">
        <v>2975</v>
      </c>
      <c r="E213" s="2040" t="s">
        <v>2976</v>
      </c>
      <c r="F213" s="2040" t="s">
        <v>578</v>
      </c>
      <c r="G213" s="2040" t="s">
        <v>2977</v>
      </c>
      <c r="H213" s="2040" t="s">
        <v>22</v>
      </c>
      <c r="I213" s="2040" t="s">
        <v>1770</v>
      </c>
    </row>
    <row r="214" spans="1:9" ht="11.25" customHeight="1">
      <c r="A214" s="2040" t="s">
        <v>2388</v>
      </c>
      <c r="B214" s="2040" t="s">
        <v>16</v>
      </c>
      <c r="C214" s="2040" t="s">
        <v>2978</v>
      </c>
      <c r="D214" s="2040" t="s">
        <v>2979</v>
      </c>
      <c r="E214" s="2040" t="s">
        <v>2980</v>
      </c>
      <c r="F214" s="2040" t="s">
        <v>578</v>
      </c>
      <c r="G214" s="2040" t="s">
        <v>2981</v>
      </c>
      <c r="H214" s="2040" t="s">
        <v>22</v>
      </c>
      <c r="I214" s="2040" t="s">
        <v>1770</v>
      </c>
    </row>
    <row r="215" spans="1:9" ht="11.25" customHeight="1">
      <c r="A215" s="2040" t="s">
        <v>2388</v>
      </c>
      <c r="B215" s="2040" t="s">
        <v>16</v>
      </c>
      <c r="C215" s="2040" t="s">
        <v>2982</v>
      </c>
      <c r="D215" s="2040" t="s">
        <v>2983</v>
      </c>
      <c r="E215" s="2040" t="s">
        <v>2984</v>
      </c>
      <c r="F215" s="2040" t="s">
        <v>2985</v>
      </c>
      <c r="G215" s="2040" t="s">
        <v>2986</v>
      </c>
      <c r="H215" s="2040" t="s">
        <v>22</v>
      </c>
      <c r="I215" s="2040" t="s">
        <v>1770</v>
      </c>
    </row>
    <row r="216" spans="1:9" ht="11.25" customHeight="1">
      <c r="A216" s="2040" t="s">
        <v>2388</v>
      </c>
      <c r="B216" s="2040" t="s">
        <v>16</v>
      </c>
      <c r="C216" s="2040" t="s">
        <v>2528</v>
      </c>
      <c r="D216" s="2040" t="s">
        <v>2529</v>
      </c>
      <c r="E216" s="2040" t="s">
        <v>2530</v>
      </c>
      <c r="F216" s="2040" t="s">
        <v>2531</v>
      </c>
      <c r="G216" s="2040" t="s">
        <v>2532</v>
      </c>
      <c r="H216" s="2040" t="s">
        <v>22</v>
      </c>
      <c r="I216" s="2040" t="s">
        <v>1770</v>
      </c>
    </row>
    <row r="217" spans="1:9" ht="11.25" customHeight="1">
      <c r="A217" s="2040" t="s">
        <v>2388</v>
      </c>
      <c r="B217" s="2040" t="s">
        <v>16</v>
      </c>
      <c r="C217" s="2040" t="s">
        <v>2987</v>
      </c>
      <c r="D217" s="2040" t="s">
        <v>2988</v>
      </c>
      <c r="E217" s="2040" t="s">
        <v>2989</v>
      </c>
      <c r="F217" s="2040" t="s">
        <v>2418</v>
      </c>
      <c r="G217" s="2040" t="s">
        <v>2990</v>
      </c>
      <c r="H217" s="2040" t="s">
        <v>22</v>
      </c>
      <c r="I217" s="2040" t="s">
        <v>1770</v>
      </c>
    </row>
    <row r="218" spans="1:9" ht="11.25" customHeight="1">
      <c r="A218" s="2040" t="s">
        <v>2388</v>
      </c>
      <c r="B218" s="2040" t="s">
        <v>16</v>
      </c>
      <c r="C218" s="2040" t="s">
        <v>2991</v>
      </c>
      <c r="D218" s="2040" t="s">
        <v>2992</v>
      </c>
      <c r="E218" s="2040" t="s">
        <v>2993</v>
      </c>
      <c r="F218" s="2040" t="s">
        <v>2418</v>
      </c>
      <c r="G218" s="2040" t="s">
        <v>2994</v>
      </c>
      <c r="H218" s="2040" t="s">
        <v>22</v>
      </c>
      <c r="I218" s="2040" t="s">
        <v>1770</v>
      </c>
    </row>
    <row r="219" spans="1:9" ht="11.25" customHeight="1">
      <c r="A219" s="2040" t="s">
        <v>2388</v>
      </c>
      <c r="B219" s="2040" t="s">
        <v>16</v>
      </c>
      <c r="C219" s="2040" t="s">
        <v>2995</v>
      </c>
      <c r="D219" s="2040" t="s">
        <v>2996</v>
      </c>
      <c r="E219" s="2040" t="s">
        <v>2997</v>
      </c>
      <c r="F219" s="2040" t="s">
        <v>2440</v>
      </c>
      <c r="G219" s="2040" t="s">
        <v>2998</v>
      </c>
      <c r="H219" s="2040" t="s">
        <v>22</v>
      </c>
      <c r="I219" s="2040" t="s">
        <v>1770</v>
      </c>
    </row>
    <row r="220" spans="1:9" ht="11.25" customHeight="1">
      <c r="A220" s="2040" t="s">
        <v>2388</v>
      </c>
      <c r="B220" s="2040" t="s">
        <v>16</v>
      </c>
      <c r="C220" s="2040" t="s">
        <v>2999</v>
      </c>
      <c r="D220" s="2040" t="s">
        <v>3000</v>
      </c>
      <c r="E220" s="2040" t="s">
        <v>3001</v>
      </c>
      <c r="F220" s="2040" t="s">
        <v>2613</v>
      </c>
      <c r="G220" s="2040" t="s">
        <v>3002</v>
      </c>
      <c r="H220" s="2040" t="s">
        <v>22</v>
      </c>
      <c r="I220" s="2040" t="s">
        <v>1770</v>
      </c>
    </row>
    <row r="221" spans="1:9" ht="11.25" customHeight="1">
      <c r="A221" s="2040" t="s">
        <v>2388</v>
      </c>
      <c r="B221" s="2040" t="s">
        <v>16</v>
      </c>
      <c r="C221" s="2040" t="s">
        <v>3003</v>
      </c>
      <c r="D221" s="2040" t="s">
        <v>3004</v>
      </c>
      <c r="E221" s="2040" t="s">
        <v>3005</v>
      </c>
      <c r="F221" s="2040" t="s">
        <v>2418</v>
      </c>
      <c r="G221" s="2040" t="s">
        <v>3006</v>
      </c>
      <c r="H221" s="2040" t="s">
        <v>22</v>
      </c>
      <c r="I221" s="2040" t="s">
        <v>1770</v>
      </c>
    </row>
    <row r="222" spans="1:9" ht="11.25" customHeight="1">
      <c r="A222" s="2040" t="s">
        <v>2388</v>
      </c>
      <c r="B222" s="2040" t="s">
        <v>16</v>
      </c>
      <c r="C222" s="2040" t="s">
        <v>3007</v>
      </c>
      <c r="D222" s="2040" t="s">
        <v>3008</v>
      </c>
      <c r="E222" s="2040" t="s">
        <v>3009</v>
      </c>
      <c r="F222" s="2040" t="s">
        <v>2418</v>
      </c>
      <c r="G222" s="2040" t="s">
        <v>3010</v>
      </c>
      <c r="H222" s="2040" t="s">
        <v>22</v>
      </c>
      <c r="I222" s="2040" t="s">
        <v>1770</v>
      </c>
    </row>
    <row r="223" spans="1:9" ht="11.25" customHeight="1">
      <c r="A223" s="2040" t="s">
        <v>2388</v>
      </c>
      <c r="B223" s="2040" t="s">
        <v>16</v>
      </c>
      <c r="C223" s="2040" t="s">
        <v>3011</v>
      </c>
      <c r="D223" s="2040" t="s">
        <v>3012</v>
      </c>
      <c r="E223" s="2040" t="s">
        <v>3013</v>
      </c>
      <c r="F223" s="2040" t="s">
        <v>2454</v>
      </c>
      <c r="G223" s="2040" t="s">
        <v>3014</v>
      </c>
      <c r="H223" s="2040" t="s">
        <v>22</v>
      </c>
      <c r="I223" s="2040" t="s">
        <v>1770</v>
      </c>
    </row>
    <row r="224" spans="1:9" ht="11.25" customHeight="1">
      <c r="A224" s="2040" t="s">
        <v>2388</v>
      </c>
      <c r="B224" s="2040" t="s">
        <v>16</v>
      </c>
      <c r="C224" s="2040" t="s">
        <v>3015</v>
      </c>
      <c r="D224" s="2040" t="s">
        <v>3016</v>
      </c>
      <c r="E224" s="2040" t="s">
        <v>3017</v>
      </c>
      <c r="F224" s="2040" t="s">
        <v>2418</v>
      </c>
      <c r="G224" s="2040" t="s">
        <v>3018</v>
      </c>
      <c r="H224" s="2040" t="s">
        <v>22</v>
      </c>
      <c r="I224" s="2040" t="s">
        <v>1770</v>
      </c>
    </row>
    <row r="225" spans="1:9" ht="11.25" customHeight="1">
      <c r="A225" s="2040" t="s">
        <v>2388</v>
      </c>
      <c r="B225" s="2040" t="s">
        <v>16</v>
      </c>
      <c r="C225" s="2040" t="s">
        <v>3019</v>
      </c>
      <c r="D225" s="2040" t="s">
        <v>3020</v>
      </c>
      <c r="E225" s="2040" t="s">
        <v>3021</v>
      </c>
      <c r="F225" s="2040" t="s">
        <v>2449</v>
      </c>
      <c r="G225" s="2040" t="s">
        <v>3022</v>
      </c>
      <c r="H225" s="2040" t="s">
        <v>22</v>
      </c>
      <c r="I225" s="2040" t="s">
        <v>1770</v>
      </c>
    </row>
    <row r="226" spans="1:9" ht="11.25" customHeight="1">
      <c r="A226" s="2040" t="s">
        <v>2388</v>
      </c>
      <c r="B226" s="2040" t="s">
        <v>16</v>
      </c>
      <c r="C226" s="2040" t="s">
        <v>3023</v>
      </c>
      <c r="D226" s="2040" t="s">
        <v>3024</v>
      </c>
      <c r="E226" s="2040" t="s">
        <v>3025</v>
      </c>
      <c r="F226" s="2040" t="s">
        <v>2669</v>
      </c>
      <c r="G226" s="2040" t="s">
        <v>3026</v>
      </c>
      <c r="H226" s="2040" t="s">
        <v>22</v>
      </c>
      <c r="I226" s="2040" t="s">
        <v>1770</v>
      </c>
    </row>
    <row r="227" spans="1:9" ht="11.25" customHeight="1">
      <c r="A227" s="2040" t="s">
        <v>2388</v>
      </c>
      <c r="B227" s="2040" t="s">
        <v>16</v>
      </c>
      <c r="C227" s="2040" t="s">
        <v>3027</v>
      </c>
      <c r="D227" s="2040" t="s">
        <v>3028</v>
      </c>
      <c r="E227" s="2040" t="s">
        <v>3029</v>
      </c>
      <c r="F227" s="2040" t="s">
        <v>2430</v>
      </c>
      <c r="G227" s="2040" t="s">
        <v>3030</v>
      </c>
      <c r="H227" s="2040" t="s">
        <v>22</v>
      </c>
      <c r="I227" s="2040" t="s">
        <v>1770</v>
      </c>
    </row>
    <row r="228" spans="1:9" ht="11.25" customHeight="1">
      <c r="A228" s="2040" t="s">
        <v>2388</v>
      </c>
      <c r="B228" s="2040" t="s">
        <v>16</v>
      </c>
      <c r="C228" s="2040" t="s">
        <v>3031</v>
      </c>
      <c r="D228" s="2040" t="s">
        <v>3032</v>
      </c>
      <c r="E228" s="2040" t="s">
        <v>3033</v>
      </c>
      <c r="F228" s="2040" t="s">
        <v>2430</v>
      </c>
      <c r="G228" s="2040" t="s">
        <v>3034</v>
      </c>
      <c r="H228" s="2040" t="s">
        <v>22</v>
      </c>
      <c r="I228" s="2040" t="s">
        <v>1770</v>
      </c>
    </row>
    <row r="229" spans="1:9" ht="11.25" customHeight="1">
      <c r="A229" s="2040" t="s">
        <v>2388</v>
      </c>
      <c r="B229" s="2040" t="s">
        <v>16</v>
      </c>
      <c r="C229" s="2040" t="s">
        <v>3035</v>
      </c>
      <c r="D229" s="2040" t="s">
        <v>3036</v>
      </c>
      <c r="E229" s="2040" t="s">
        <v>3037</v>
      </c>
      <c r="F229" s="2040" t="s">
        <v>2440</v>
      </c>
      <c r="G229" s="2040" t="s">
        <v>3038</v>
      </c>
      <c r="H229" s="2040" t="s">
        <v>22</v>
      </c>
      <c r="I229" s="2040" t="s">
        <v>1770</v>
      </c>
    </row>
    <row r="230" spans="1:9" ht="11.25" customHeight="1">
      <c r="A230" s="2040" t="s">
        <v>2388</v>
      </c>
      <c r="B230" s="2040" t="s">
        <v>16</v>
      </c>
      <c r="C230" s="2040" t="s">
        <v>3039</v>
      </c>
      <c r="D230" s="2040" t="s">
        <v>3040</v>
      </c>
      <c r="E230" s="2040" t="s">
        <v>3041</v>
      </c>
      <c r="F230" s="2040" t="s">
        <v>2440</v>
      </c>
      <c r="G230" s="2040" t="s">
        <v>3042</v>
      </c>
      <c r="H230" s="2040" t="s">
        <v>22</v>
      </c>
      <c r="I230" s="2040" t="s">
        <v>1770</v>
      </c>
    </row>
    <row r="231" spans="1:9" ht="11.25" customHeight="1">
      <c r="A231" s="2040" t="s">
        <v>2388</v>
      </c>
      <c r="B231" s="2040" t="s">
        <v>16</v>
      </c>
      <c r="C231" s="2040" t="s">
        <v>3043</v>
      </c>
      <c r="D231" s="2040" t="s">
        <v>3044</v>
      </c>
      <c r="E231" s="2040" t="s">
        <v>3045</v>
      </c>
      <c r="F231" s="2040" t="s">
        <v>2430</v>
      </c>
      <c r="G231" s="2040" t="s">
        <v>3046</v>
      </c>
      <c r="H231" s="2040" t="s">
        <v>22</v>
      </c>
      <c r="I231" s="2040" t="s">
        <v>1770</v>
      </c>
    </row>
    <row r="232" spans="1:9" ht="11.25" customHeight="1">
      <c r="A232" s="2040" t="s">
        <v>2388</v>
      </c>
      <c r="B232" s="2040" t="s">
        <v>16</v>
      </c>
      <c r="C232" s="2040" t="s">
        <v>3047</v>
      </c>
      <c r="D232" s="2040" t="s">
        <v>3048</v>
      </c>
      <c r="E232" s="2040" t="s">
        <v>3049</v>
      </c>
      <c r="F232" s="2040" t="s">
        <v>2435</v>
      </c>
      <c r="G232" s="2040" t="s">
        <v>3050</v>
      </c>
      <c r="H232" s="2040" t="s">
        <v>22</v>
      </c>
      <c r="I232" s="2040" t="s">
        <v>1770</v>
      </c>
    </row>
    <row r="233" spans="1:9" ht="11.25" customHeight="1">
      <c r="A233" s="2040" t="s">
        <v>2388</v>
      </c>
      <c r="B233" s="2040" t="s">
        <v>16</v>
      </c>
      <c r="C233" s="2040" t="s">
        <v>3051</v>
      </c>
      <c r="D233" s="2040" t="s">
        <v>3052</v>
      </c>
      <c r="E233" s="2040" t="s">
        <v>3053</v>
      </c>
      <c r="F233" s="2040" t="s">
        <v>2418</v>
      </c>
      <c r="G233" s="2040" t="s">
        <v>3054</v>
      </c>
      <c r="H233" s="2040" t="s">
        <v>22</v>
      </c>
      <c r="I233" s="2040" t="s">
        <v>1770</v>
      </c>
    </row>
    <row r="234" spans="1:9" ht="11.25" customHeight="1">
      <c r="A234" s="2040" t="s">
        <v>2388</v>
      </c>
      <c r="B234" s="2040" t="s">
        <v>16</v>
      </c>
      <c r="C234" s="2040" t="s">
        <v>2619</v>
      </c>
      <c r="D234" s="2040" t="s">
        <v>2620</v>
      </c>
      <c r="E234" s="2040" t="s">
        <v>2621</v>
      </c>
      <c r="F234" s="2040" t="s">
        <v>2613</v>
      </c>
      <c r="G234" s="2040" t="s">
        <v>2622</v>
      </c>
      <c r="H234" s="2040" t="s">
        <v>22</v>
      </c>
      <c r="I234" s="2040" t="s">
        <v>1770</v>
      </c>
    </row>
    <row r="235" spans="1:9" ht="11.25" customHeight="1">
      <c r="A235" s="2040" t="s">
        <v>2388</v>
      </c>
      <c r="B235" s="2040" t="s">
        <v>16</v>
      </c>
      <c r="C235" s="2040" t="s">
        <v>3055</v>
      </c>
      <c r="D235" s="2040" t="s">
        <v>3056</v>
      </c>
      <c r="E235" s="2040" t="s">
        <v>3057</v>
      </c>
      <c r="F235" s="2040" t="s">
        <v>2454</v>
      </c>
      <c r="G235" s="2040" t="s">
        <v>3058</v>
      </c>
      <c r="H235" s="2040" t="s">
        <v>22</v>
      </c>
      <c r="I235" s="2040" t="s">
        <v>1770</v>
      </c>
    </row>
    <row r="236" spans="1:9" ht="11.25" customHeight="1">
      <c r="A236" s="2040" t="s">
        <v>2388</v>
      </c>
      <c r="B236" s="2040" t="s">
        <v>16</v>
      </c>
      <c r="C236" s="2040" t="s">
        <v>3059</v>
      </c>
      <c r="D236" s="2040" t="s">
        <v>3060</v>
      </c>
      <c r="E236" s="2040" t="s">
        <v>3061</v>
      </c>
      <c r="F236" s="2040" t="s">
        <v>2613</v>
      </c>
      <c r="G236" s="2040" t="s">
        <v>3062</v>
      </c>
      <c r="H236" s="2040" t="s">
        <v>22</v>
      </c>
      <c r="I236" s="2040" t="s">
        <v>1770</v>
      </c>
    </row>
    <row r="237" spans="1:9" ht="11.25" customHeight="1">
      <c r="A237" s="2040" t="s">
        <v>2388</v>
      </c>
      <c r="B237" s="2040" t="s">
        <v>16</v>
      </c>
      <c r="C237" s="2040" t="s">
        <v>3063</v>
      </c>
      <c r="D237" s="2040" t="s">
        <v>3064</v>
      </c>
      <c r="E237" s="2040" t="s">
        <v>3065</v>
      </c>
      <c r="F237" s="2040" t="s">
        <v>2613</v>
      </c>
      <c r="G237" s="2040" t="s">
        <v>3066</v>
      </c>
      <c r="H237" s="2040" t="s">
        <v>22</v>
      </c>
      <c r="I237" s="2040" t="s">
        <v>1770</v>
      </c>
    </row>
    <row r="238" spans="1:9" ht="11.25" customHeight="1">
      <c r="A238" s="2040" t="s">
        <v>2388</v>
      </c>
      <c r="B238" s="2040" t="s">
        <v>16</v>
      </c>
      <c r="C238" s="2040" t="s">
        <v>3067</v>
      </c>
      <c r="D238" s="2040" t="s">
        <v>3068</v>
      </c>
      <c r="E238" s="2040" t="s">
        <v>3069</v>
      </c>
      <c r="F238" s="2040" t="s">
        <v>2449</v>
      </c>
      <c r="G238" s="2040" t="s">
        <v>3070</v>
      </c>
      <c r="H238" s="2040" t="s">
        <v>22</v>
      </c>
      <c r="I238" s="2040" t="s">
        <v>1770</v>
      </c>
    </row>
    <row r="239" spans="1:9" ht="11.25" customHeight="1">
      <c r="A239" s="2040" t="s">
        <v>2388</v>
      </c>
      <c r="B239" s="2040" t="s">
        <v>16</v>
      </c>
      <c r="C239" s="2040" t="s">
        <v>3071</v>
      </c>
      <c r="D239" s="2040" t="s">
        <v>3072</v>
      </c>
      <c r="E239" s="2040" t="s">
        <v>3073</v>
      </c>
      <c r="F239" s="2040" t="s">
        <v>2669</v>
      </c>
      <c r="G239" s="2040" t="s">
        <v>3074</v>
      </c>
      <c r="H239" s="2040" t="s">
        <v>22</v>
      </c>
      <c r="I239" s="2040" t="s">
        <v>1770</v>
      </c>
    </row>
    <row r="240" spans="1:9" ht="11.25" customHeight="1">
      <c r="A240" s="2040" t="s">
        <v>2388</v>
      </c>
      <c r="B240" s="2040" t="s">
        <v>16</v>
      </c>
      <c r="C240" s="2040" t="s">
        <v>3075</v>
      </c>
      <c r="D240" s="2040" t="s">
        <v>3076</v>
      </c>
      <c r="E240" s="2040" t="s">
        <v>3077</v>
      </c>
      <c r="F240" s="2040" t="s">
        <v>3078</v>
      </c>
      <c r="G240" s="2040" t="s">
        <v>3079</v>
      </c>
      <c r="H240" s="2040" t="s">
        <v>22</v>
      </c>
      <c r="I240" s="2040" t="s">
        <v>1770</v>
      </c>
    </row>
    <row r="241" spans="1:9" ht="11.25" customHeight="1">
      <c r="A241" s="2040" t="s">
        <v>2388</v>
      </c>
      <c r="B241" s="2040" t="s">
        <v>16</v>
      </c>
      <c r="C241" s="2040" t="s">
        <v>3080</v>
      </c>
      <c r="D241" s="2040" t="s">
        <v>3081</v>
      </c>
      <c r="E241" s="2040" t="s">
        <v>3082</v>
      </c>
      <c r="F241" s="2040" t="s">
        <v>2722</v>
      </c>
      <c r="G241" s="2040" t="s">
        <v>3083</v>
      </c>
      <c r="H241" s="2040" t="s">
        <v>22</v>
      </c>
      <c r="I241" s="2040" t="s">
        <v>1770</v>
      </c>
    </row>
    <row r="242" spans="1:9" ht="11.25" customHeight="1">
      <c r="A242" s="2040" t="s">
        <v>2388</v>
      </c>
      <c r="B242" s="2040" t="s">
        <v>16</v>
      </c>
      <c r="C242" s="2040" t="s">
        <v>3084</v>
      </c>
      <c r="D242" s="2040" t="s">
        <v>3085</v>
      </c>
      <c r="E242" s="2040" t="s">
        <v>3086</v>
      </c>
      <c r="F242" s="2040" t="s">
        <v>2613</v>
      </c>
      <c r="G242" s="2040" t="s">
        <v>3087</v>
      </c>
      <c r="H242" s="2040" t="s">
        <v>22</v>
      </c>
      <c r="I242" s="2040" t="s">
        <v>1770</v>
      </c>
    </row>
    <row r="243" spans="1:9" ht="11.25" customHeight="1">
      <c r="A243" s="2040" t="s">
        <v>2388</v>
      </c>
      <c r="B243" s="2040" t="s">
        <v>16</v>
      </c>
      <c r="C243" s="2040" t="s">
        <v>3088</v>
      </c>
      <c r="D243" s="2040" t="s">
        <v>3089</v>
      </c>
      <c r="E243" s="2040" t="s">
        <v>3090</v>
      </c>
      <c r="F243" s="2040" t="s">
        <v>2613</v>
      </c>
      <c r="G243" s="2040" t="s">
        <v>3091</v>
      </c>
      <c r="H243" s="2040" t="s">
        <v>22</v>
      </c>
      <c r="I243" s="2040" t="s">
        <v>1770</v>
      </c>
    </row>
    <row r="244" spans="1:9" ht="11.25" customHeight="1">
      <c r="A244" s="2040" t="s">
        <v>2388</v>
      </c>
      <c r="B244" s="2040" t="s">
        <v>16</v>
      </c>
      <c r="C244" s="2040" t="s">
        <v>3092</v>
      </c>
      <c r="D244" s="2040" t="s">
        <v>3093</v>
      </c>
      <c r="E244" s="2040" t="s">
        <v>3094</v>
      </c>
      <c r="F244" s="2040" t="s">
        <v>2449</v>
      </c>
      <c r="G244" s="2040" t="s">
        <v>3054</v>
      </c>
      <c r="H244" s="2040" t="s">
        <v>22</v>
      </c>
      <c r="I244" s="2040" t="s">
        <v>1770</v>
      </c>
    </row>
    <row r="245" spans="1:9" ht="11.25" customHeight="1">
      <c r="A245" s="2040" t="s">
        <v>2388</v>
      </c>
      <c r="B245" s="2040" t="s">
        <v>16</v>
      </c>
      <c r="C245" s="2040" t="s">
        <v>3095</v>
      </c>
      <c r="D245" s="2040" t="s">
        <v>3096</v>
      </c>
      <c r="E245" s="2040" t="s">
        <v>3097</v>
      </c>
      <c r="F245" s="2040" t="s">
        <v>2449</v>
      </c>
      <c r="G245" s="2040" t="s">
        <v>3098</v>
      </c>
      <c r="H245" s="2040" t="s">
        <v>22</v>
      </c>
      <c r="I245" s="2040" t="s">
        <v>1770</v>
      </c>
    </row>
    <row r="246" spans="1:9" ht="11.25" customHeight="1">
      <c r="A246" s="2040" t="s">
        <v>2388</v>
      </c>
      <c r="B246" s="2040" t="s">
        <v>16</v>
      </c>
      <c r="C246" s="2040" t="s">
        <v>3099</v>
      </c>
      <c r="D246" s="2040" t="s">
        <v>3100</v>
      </c>
      <c r="E246" s="2040" t="s">
        <v>3101</v>
      </c>
      <c r="F246" s="2040" t="s">
        <v>50</v>
      </c>
      <c r="G246" s="2040" t="s">
        <v>3054</v>
      </c>
      <c r="H246" s="2040" t="s">
        <v>22</v>
      </c>
      <c r="I246" s="2040" t="s">
        <v>1770</v>
      </c>
    </row>
    <row r="247" spans="1:9" ht="11.25" customHeight="1">
      <c r="A247" s="2040" t="s">
        <v>2388</v>
      </c>
      <c r="B247" s="2040" t="s">
        <v>16</v>
      </c>
      <c r="C247" s="2040" t="s">
        <v>3102</v>
      </c>
      <c r="D247" s="2040" t="s">
        <v>3103</v>
      </c>
      <c r="E247" s="2040" t="s">
        <v>3104</v>
      </c>
      <c r="F247" s="2040" t="s">
        <v>2418</v>
      </c>
      <c r="G247" s="2040" t="s">
        <v>3105</v>
      </c>
      <c r="H247" s="2040" t="s">
        <v>22</v>
      </c>
      <c r="I247" s="2040" t="s">
        <v>1770</v>
      </c>
    </row>
    <row r="248" spans="1:9" ht="11.25" customHeight="1">
      <c r="A248" s="2040" t="s">
        <v>2388</v>
      </c>
      <c r="B248" s="2040" t="s">
        <v>16</v>
      </c>
      <c r="C248" s="2040" t="s">
        <v>3106</v>
      </c>
      <c r="D248" s="2040" t="s">
        <v>3107</v>
      </c>
      <c r="E248" s="2040" t="s">
        <v>3108</v>
      </c>
      <c r="F248" s="2040" t="s">
        <v>2536</v>
      </c>
      <c r="G248" s="2040" t="s">
        <v>3109</v>
      </c>
      <c r="H248" s="2040" t="s">
        <v>22</v>
      </c>
      <c r="I248" s="2040" t="s">
        <v>1770</v>
      </c>
    </row>
    <row r="249" spans="1:9" ht="11.25" customHeight="1">
      <c r="A249" s="2040" t="s">
        <v>2388</v>
      </c>
      <c r="B249" s="2040" t="s">
        <v>16</v>
      </c>
      <c r="C249" s="2040" t="s">
        <v>3110</v>
      </c>
      <c r="D249" s="2040" t="s">
        <v>3111</v>
      </c>
      <c r="E249" s="2040" t="s">
        <v>3112</v>
      </c>
      <c r="F249" s="2040" t="s">
        <v>3113</v>
      </c>
      <c r="G249" s="2040" t="s">
        <v>3114</v>
      </c>
      <c r="H249" s="2040" t="s">
        <v>22</v>
      </c>
      <c r="I249" s="2040" t="s">
        <v>1770</v>
      </c>
    </row>
    <row r="250" spans="1:9" ht="11.25" customHeight="1">
      <c r="A250" s="2040" t="s">
        <v>2388</v>
      </c>
      <c r="B250" s="2040" t="s">
        <v>16</v>
      </c>
      <c r="C250" s="2040" t="s">
        <v>22</v>
      </c>
      <c r="D250" s="2040" t="s">
        <v>2667</v>
      </c>
      <c r="E250" s="2040" t="s">
        <v>2668</v>
      </c>
      <c r="F250" s="2040" t="s">
        <v>2669</v>
      </c>
      <c r="G250" s="2040" t="s">
        <v>22</v>
      </c>
      <c r="H250" s="2040" t="s">
        <v>22</v>
      </c>
      <c r="I250" s="2040" t="s">
        <v>1770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4"/>
  <sheetViews>
    <sheetView showGridLines="0" workbookViewId="0"/>
  </sheetViews>
  <sheetFormatPr defaultRowHeight="11.25" customHeight="1"/>
  <cols>
    <col min="1" max="1" width="9.140625" style="2398"/>
  </cols>
  <sheetData>
    <row r="1" spans="1:7" ht="11.25" customHeight="1">
      <c r="A1" s="309" t="s">
        <v>3115</v>
      </c>
      <c r="B1" s="3" t="s">
        <v>3116</v>
      </c>
      <c r="C1" s="3" t="s">
        <v>3117</v>
      </c>
      <c r="D1" s="3" t="s">
        <v>3118</v>
      </c>
      <c r="E1" s="2" t="s">
        <v>3119</v>
      </c>
      <c r="F1" s="2" t="s">
        <v>3120</v>
      </c>
      <c r="G1" s="2" t="s">
        <v>3121</v>
      </c>
    </row>
    <row r="2" spans="1:7" ht="11.25" customHeight="1">
      <c r="A2" s="309" t="s">
        <v>16</v>
      </c>
      <c r="B2" t="s">
        <v>3122</v>
      </c>
      <c r="C2" t="s">
        <v>3123</v>
      </c>
      <c r="D2" t="s">
        <v>3122</v>
      </c>
      <c r="E2" t="s">
        <v>3123</v>
      </c>
      <c r="F2" t="s">
        <v>3124</v>
      </c>
      <c r="G2" t="s">
        <v>109</v>
      </c>
    </row>
    <row r="3" spans="1:7" ht="11.25" customHeight="1">
      <c r="A3" s="309" t="s">
        <v>16</v>
      </c>
      <c r="B3" t="s">
        <v>3125</v>
      </c>
      <c r="C3" t="s">
        <v>3126</v>
      </c>
      <c r="D3" t="s">
        <v>3125</v>
      </c>
      <c r="E3" t="s">
        <v>3126</v>
      </c>
      <c r="F3" t="s">
        <v>3124</v>
      </c>
      <c r="G3" t="s">
        <v>110</v>
      </c>
    </row>
    <row r="4" spans="1:7" ht="11.25" customHeight="1">
      <c r="A4" s="309" t="s">
        <v>16</v>
      </c>
      <c r="B4" t="s">
        <v>3127</v>
      </c>
      <c r="C4" t="s">
        <v>3128</v>
      </c>
      <c r="D4" t="s">
        <v>3127</v>
      </c>
      <c r="E4" t="s">
        <v>3128</v>
      </c>
      <c r="F4" t="s">
        <v>3124</v>
      </c>
      <c r="G4" t="s">
        <v>90</v>
      </c>
    </row>
    <row r="5" spans="1:7" ht="11.25" customHeight="1">
      <c r="A5" s="309" t="s">
        <v>16</v>
      </c>
      <c r="B5" t="s">
        <v>3129</v>
      </c>
      <c r="C5" t="s">
        <v>3130</v>
      </c>
      <c r="D5" t="s">
        <v>3129</v>
      </c>
      <c r="E5" t="s">
        <v>3130</v>
      </c>
      <c r="F5" t="s">
        <v>3124</v>
      </c>
      <c r="G5" t="s">
        <v>91</v>
      </c>
    </row>
    <row r="6" spans="1:7" ht="11.25" customHeight="1">
      <c r="A6" s="309" t="s">
        <v>16</v>
      </c>
      <c r="B6" t="s">
        <v>3131</v>
      </c>
      <c r="C6" t="s">
        <v>3132</v>
      </c>
      <c r="D6" t="s">
        <v>3131</v>
      </c>
      <c r="E6" t="s">
        <v>3132</v>
      </c>
      <c r="F6" t="s">
        <v>3133</v>
      </c>
      <c r="G6" t="s">
        <v>111</v>
      </c>
    </row>
    <row r="7" spans="1:7" ht="11.25" customHeight="1">
      <c r="A7" s="309" t="s">
        <v>16</v>
      </c>
      <c r="B7" t="s">
        <v>3134</v>
      </c>
      <c r="C7" t="s">
        <v>3135</v>
      </c>
      <c r="D7" t="s">
        <v>3134</v>
      </c>
      <c r="E7" t="s">
        <v>3135</v>
      </c>
      <c r="F7" t="s">
        <v>3124</v>
      </c>
      <c r="G7" t="s">
        <v>92</v>
      </c>
    </row>
    <row r="8" spans="1:7" ht="11.25" customHeight="1">
      <c r="A8" s="309" t="s">
        <v>16</v>
      </c>
      <c r="B8" t="s">
        <v>3136</v>
      </c>
      <c r="C8" t="s">
        <v>3137</v>
      </c>
      <c r="D8" t="s">
        <v>3136</v>
      </c>
      <c r="E8" t="s">
        <v>3137</v>
      </c>
      <c r="F8" t="s">
        <v>3124</v>
      </c>
      <c r="G8" t="s">
        <v>93</v>
      </c>
    </row>
    <row r="9" spans="1:7" ht="11.25" customHeight="1">
      <c r="A9" s="309" t="s">
        <v>16</v>
      </c>
      <c r="B9" t="s">
        <v>3138</v>
      </c>
      <c r="C9" t="s">
        <v>3139</v>
      </c>
      <c r="D9" t="s">
        <v>3138</v>
      </c>
      <c r="E9" t="s">
        <v>3139</v>
      </c>
      <c r="F9" t="s">
        <v>3133</v>
      </c>
      <c r="G9" t="s">
        <v>112</v>
      </c>
    </row>
    <row r="10" spans="1:7" ht="11.25" customHeight="1">
      <c r="A10" s="309" t="s">
        <v>16</v>
      </c>
      <c r="B10" t="s">
        <v>3140</v>
      </c>
      <c r="C10" t="s">
        <v>3141</v>
      </c>
      <c r="D10" t="s">
        <v>3140</v>
      </c>
      <c r="E10" t="s">
        <v>3141</v>
      </c>
      <c r="F10" t="s">
        <v>3124</v>
      </c>
      <c r="G10" t="s">
        <v>149</v>
      </c>
    </row>
    <row r="11" spans="1:7" ht="11.25" customHeight="1">
      <c r="A11" s="309" t="s">
        <v>16</v>
      </c>
      <c r="B11" t="s">
        <v>3142</v>
      </c>
      <c r="C11" t="s">
        <v>3143</v>
      </c>
      <c r="D11" t="s">
        <v>3142</v>
      </c>
      <c r="E11" t="s">
        <v>3143</v>
      </c>
      <c r="F11" t="s">
        <v>3133</v>
      </c>
      <c r="G11" t="s">
        <v>150</v>
      </c>
    </row>
    <row r="12" spans="1:7" ht="11.25" customHeight="1">
      <c r="A12" s="309" t="s">
        <v>16</v>
      </c>
      <c r="B12" t="s">
        <v>3144</v>
      </c>
      <c r="C12" t="s">
        <v>3145</v>
      </c>
      <c r="D12" t="s">
        <v>3144</v>
      </c>
      <c r="E12" t="s">
        <v>3145</v>
      </c>
      <c r="F12" t="s">
        <v>3133</v>
      </c>
      <c r="G12" t="s">
        <v>151</v>
      </c>
    </row>
    <row r="13" spans="1:7" ht="11.25" customHeight="1">
      <c r="A13" s="309" t="s">
        <v>16</v>
      </c>
      <c r="B13" t="s">
        <v>3146</v>
      </c>
      <c r="C13" t="s">
        <v>3147</v>
      </c>
      <c r="D13" t="s">
        <v>3146</v>
      </c>
      <c r="E13" t="s">
        <v>3147</v>
      </c>
      <c r="F13" t="s">
        <v>3133</v>
      </c>
      <c r="G13" t="s">
        <v>152</v>
      </c>
    </row>
    <row r="14" spans="1:7" ht="11.25" customHeight="1">
      <c r="A14" s="309" t="s">
        <v>16</v>
      </c>
      <c r="B14" t="s">
        <v>3148</v>
      </c>
      <c r="C14" t="s">
        <v>3149</v>
      </c>
      <c r="D14" t="s">
        <v>3148</v>
      </c>
      <c r="E14" t="s">
        <v>3149</v>
      </c>
      <c r="F14" t="s">
        <v>3133</v>
      </c>
      <c r="G14" t="s">
        <v>153</v>
      </c>
    </row>
    <row r="15" spans="1:7" ht="11.25" customHeight="1">
      <c r="A15" s="309" t="s">
        <v>16</v>
      </c>
      <c r="B15" t="s">
        <v>3150</v>
      </c>
      <c r="C15" t="s">
        <v>3151</v>
      </c>
      <c r="D15" t="s">
        <v>3150</v>
      </c>
      <c r="E15" t="s">
        <v>3151</v>
      </c>
      <c r="F15" t="s">
        <v>3133</v>
      </c>
      <c r="G15" t="s">
        <v>154</v>
      </c>
    </row>
    <row r="16" spans="1:7" ht="11.25" customHeight="1">
      <c r="A16" s="309" t="s">
        <v>16</v>
      </c>
      <c r="B16" t="s">
        <v>3152</v>
      </c>
      <c r="C16" t="s">
        <v>3153</v>
      </c>
      <c r="D16" t="s">
        <v>3152</v>
      </c>
      <c r="E16" t="s">
        <v>3153</v>
      </c>
      <c r="F16" t="s">
        <v>3133</v>
      </c>
      <c r="G16" t="s">
        <v>1615</v>
      </c>
    </row>
    <row r="17" spans="1:7" ht="11.25" customHeight="1">
      <c r="A17" s="309" t="s">
        <v>16</v>
      </c>
      <c r="B17" t="s">
        <v>100</v>
      </c>
      <c r="C17" t="s">
        <v>101</v>
      </c>
      <c r="D17" t="s">
        <v>100</v>
      </c>
      <c r="E17" t="s">
        <v>101</v>
      </c>
      <c r="F17" t="s">
        <v>3133</v>
      </c>
      <c r="G17" t="s">
        <v>99</v>
      </c>
    </row>
    <row r="18" spans="1:7" ht="11.25" customHeight="1">
      <c r="A18" s="309" t="s">
        <v>16</v>
      </c>
      <c r="B18" t="s">
        <v>3154</v>
      </c>
      <c r="C18" t="s">
        <v>3155</v>
      </c>
      <c r="D18" t="s">
        <v>3154</v>
      </c>
      <c r="E18" t="s">
        <v>3155</v>
      </c>
      <c r="F18" t="s">
        <v>3124</v>
      </c>
      <c r="G18" t="s">
        <v>1632</v>
      </c>
    </row>
    <row r="19" spans="1:7" ht="11.25" customHeight="1">
      <c r="A19" s="309" t="s">
        <v>16</v>
      </c>
      <c r="B19" t="s">
        <v>3156</v>
      </c>
      <c r="C19" t="s">
        <v>3157</v>
      </c>
      <c r="D19" t="s">
        <v>3156</v>
      </c>
      <c r="E19" t="s">
        <v>3157</v>
      </c>
      <c r="F19" t="s">
        <v>3133</v>
      </c>
      <c r="G19" t="s">
        <v>1646</v>
      </c>
    </row>
    <row r="20" spans="1:7" ht="11.25" customHeight="1">
      <c r="A20" s="309" t="s">
        <v>16</v>
      </c>
      <c r="B20" t="s">
        <v>3158</v>
      </c>
      <c r="C20" t="s">
        <v>3159</v>
      </c>
      <c r="D20" t="s">
        <v>3158</v>
      </c>
      <c r="E20" t="s">
        <v>3159</v>
      </c>
      <c r="F20" t="s">
        <v>3124</v>
      </c>
      <c r="G20" t="s">
        <v>1658</v>
      </c>
    </row>
    <row r="21" spans="1:7" ht="11.25" customHeight="1">
      <c r="A21" s="309" t="s">
        <v>16</v>
      </c>
      <c r="B21" t="s">
        <v>3160</v>
      </c>
      <c r="C21" t="s">
        <v>3161</v>
      </c>
      <c r="D21" t="s">
        <v>3160</v>
      </c>
      <c r="E21" t="s">
        <v>3161</v>
      </c>
      <c r="F21" t="s">
        <v>3133</v>
      </c>
      <c r="G21" t="s">
        <v>1667</v>
      </c>
    </row>
    <row r="22" spans="1:7" ht="11.25" customHeight="1">
      <c r="A22" s="309" t="s">
        <v>16</v>
      </c>
      <c r="B22" t="s">
        <v>3162</v>
      </c>
      <c r="C22" t="s">
        <v>3163</v>
      </c>
      <c r="D22" t="s">
        <v>3162</v>
      </c>
      <c r="E22" t="s">
        <v>3163</v>
      </c>
      <c r="F22" t="s">
        <v>3124</v>
      </c>
      <c r="G22" t="s">
        <v>1683</v>
      </c>
    </row>
    <row r="23" spans="1:7" ht="11.25" customHeight="1">
      <c r="A23" s="309" t="s">
        <v>16</v>
      </c>
      <c r="B23" t="s">
        <v>3164</v>
      </c>
      <c r="C23" t="s">
        <v>3165</v>
      </c>
      <c r="D23" t="s">
        <v>3164</v>
      </c>
      <c r="E23" t="s">
        <v>3165</v>
      </c>
      <c r="F23" t="s">
        <v>3133</v>
      </c>
      <c r="G23" t="s">
        <v>1690</v>
      </c>
    </row>
    <row r="24" spans="1:7" ht="11.25" customHeight="1">
      <c r="A24" s="309" t="s">
        <v>16</v>
      </c>
      <c r="B24" t="s">
        <v>3166</v>
      </c>
      <c r="C24" t="s">
        <v>3167</v>
      </c>
      <c r="D24" t="s">
        <v>3166</v>
      </c>
      <c r="E24" t="s">
        <v>3167</v>
      </c>
      <c r="F24" t="s">
        <v>3124</v>
      </c>
      <c r="G24" t="s">
        <v>1698</v>
      </c>
    </row>
    <row r="25" spans="1:7" ht="11.25" customHeight="1">
      <c r="A25" s="309" t="s">
        <v>16</v>
      </c>
      <c r="B25" t="s">
        <v>3168</v>
      </c>
      <c r="C25" t="s">
        <v>3169</v>
      </c>
      <c r="D25" t="s">
        <v>3168</v>
      </c>
      <c r="E25" t="s">
        <v>3169</v>
      </c>
      <c r="F25" t="s">
        <v>3124</v>
      </c>
      <c r="G25" t="s">
        <v>1704</v>
      </c>
    </row>
    <row r="26" spans="1:7" ht="11.25" customHeight="1">
      <c r="A26" s="309" t="s">
        <v>16</v>
      </c>
      <c r="B26" t="s">
        <v>3170</v>
      </c>
      <c r="C26" t="s">
        <v>3171</v>
      </c>
      <c r="D26" t="s">
        <v>3170</v>
      </c>
      <c r="E26" t="s">
        <v>3171</v>
      </c>
      <c r="F26" t="s">
        <v>3124</v>
      </c>
      <c r="G26" t="s">
        <v>1708</v>
      </c>
    </row>
    <row r="27" spans="1:7" ht="11.25" customHeight="1">
      <c r="A27" s="309" t="s">
        <v>16</v>
      </c>
      <c r="B27" t="s">
        <v>3172</v>
      </c>
      <c r="C27" t="s">
        <v>3173</v>
      </c>
      <c r="D27" t="s">
        <v>3172</v>
      </c>
      <c r="E27" t="s">
        <v>3173</v>
      </c>
      <c r="F27" t="s">
        <v>3124</v>
      </c>
      <c r="G27" t="s">
        <v>1713</v>
      </c>
    </row>
    <row r="28" spans="1:7" ht="11.25" customHeight="1">
      <c r="A28" s="309" t="s">
        <v>16</v>
      </c>
      <c r="B28" t="s">
        <v>3174</v>
      </c>
      <c r="C28" t="s">
        <v>3175</v>
      </c>
      <c r="D28" t="s">
        <v>3174</v>
      </c>
      <c r="E28" t="s">
        <v>3175</v>
      </c>
      <c r="F28" t="s">
        <v>3124</v>
      </c>
      <c r="G28" t="s">
        <v>1721</v>
      </c>
    </row>
    <row r="29" spans="1:7" ht="11.25" customHeight="1">
      <c r="A29" s="309" t="s">
        <v>16</v>
      </c>
      <c r="B29" t="s">
        <v>3176</v>
      </c>
      <c r="C29" t="s">
        <v>3177</v>
      </c>
      <c r="D29" t="s">
        <v>3176</v>
      </c>
      <c r="E29" t="s">
        <v>3177</v>
      </c>
      <c r="F29" t="s">
        <v>3133</v>
      </c>
      <c r="G29" t="s">
        <v>1723</v>
      </c>
    </row>
    <row r="30" spans="1:7" ht="11.25" customHeight="1">
      <c r="A30" s="309" t="s">
        <v>16</v>
      </c>
      <c r="B30" t="s">
        <v>3178</v>
      </c>
      <c r="C30" t="s">
        <v>3179</v>
      </c>
      <c r="D30" t="s">
        <v>3178</v>
      </c>
      <c r="E30" t="s">
        <v>3179</v>
      </c>
      <c r="F30" t="s">
        <v>3124</v>
      </c>
      <c r="G30" t="s">
        <v>1726</v>
      </c>
    </row>
    <row r="31" spans="1:7" ht="11.25" customHeight="1">
      <c r="A31" s="309" t="s">
        <v>16</v>
      </c>
      <c r="B31" t="s">
        <v>3180</v>
      </c>
      <c r="C31" t="s">
        <v>3181</v>
      </c>
      <c r="D31" t="s">
        <v>3180</v>
      </c>
      <c r="E31" t="s">
        <v>3181</v>
      </c>
      <c r="F31" t="s">
        <v>3133</v>
      </c>
      <c r="G31" t="s">
        <v>1732</v>
      </c>
    </row>
    <row r="32" spans="1:7" ht="11.25" customHeight="1">
      <c r="A32" s="309" t="s">
        <v>16</v>
      </c>
      <c r="B32" t="s">
        <v>3182</v>
      </c>
      <c r="C32" t="s">
        <v>3183</v>
      </c>
      <c r="D32" t="s">
        <v>3182</v>
      </c>
      <c r="E32" t="s">
        <v>3183</v>
      </c>
      <c r="F32" t="s">
        <v>3124</v>
      </c>
      <c r="G32" t="s">
        <v>1734</v>
      </c>
    </row>
    <row r="33" spans="1:7" ht="11.25" customHeight="1">
      <c r="A33" s="309" t="s">
        <v>16</v>
      </c>
      <c r="B33" t="s">
        <v>3184</v>
      </c>
      <c r="C33" t="s">
        <v>3185</v>
      </c>
      <c r="D33" t="s">
        <v>3184</v>
      </c>
      <c r="E33" t="s">
        <v>3185</v>
      </c>
      <c r="F33" t="s">
        <v>3133</v>
      </c>
      <c r="G33" t="s">
        <v>1736</v>
      </c>
    </row>
    <row r="34" spans="1:7" ht="11.25" customHeight="1">
      <c r="A34" s="309" t="s">
        <v>16</v>
      </c>
      <c r="B34" t="s">
        <v>3186</v>
      </c>
      <c r="C34" t="s">
        <v>3187</v>
      </c>
      <c r="D34" t="s">
        <v>3186</v>
      </c>
      <c r="E34" t="s">
        <v>3187</v>
      </c>
      <c r="F34" t="s">
        <v>3124</v>
      </c>
      <c r="G34" t="s">
        <v>1738</v>
      </c>
    </row>
    <row r="35" spans="1:7" ht="11.25" customHeight="1">
      <c r="A35" s="309" t="s">
        <v>16</v>
      </c>
      <c r="B35" t="s">
        <v>3188</v>
      </c>
      <c r="C35" t="s">
        <v>3189</v>
      </c>
      <c r="D35" t="s">
        <v>3188</v>
      </c>
      <c r="E35" t="s">
        <v>3189</v>
      </c>
      <c r="F35" t="s">
        <v>3124</v>
      </c>
      <c r="G35" t="s">
        <v>1743</v>
      </c>
    </row>
    <row r="36" spans="1:7" ht="11.25" customHeight="1">
      <c r="A36" s="309" t="s">
        <v>16</v>
      </c>
      <c r="B36" t="s">
        <v>3190</v>
      </c>
      <c r="C36" t="s">
        <v>3191</v>
      </c>
      <c r="D36" t="s">
        <v>3190</v>
      </c>
      <c r="E36" t="s">
        <v>3191</v>
      </c>
      <c r="F36" t="s">
        <v>3133</v>
      </c>
      <c r="G36" t="s">
        <v>1748</v>
      </c>
    </row>
    <row r="37" spans="1:7" ht="11.25" customHeight="1">
      <c r="A37" s="309" t="s">
        <v>16</v>
      </c>
      <c r="B37" t="s">
        <v>3192</v>
      </c>
      <c r="C37" t="s">
        <v>3193</v>
      </c>
      <c r="D37" t="s">
        <v>3192</v>
      </c>
      <c r="E37" t="s">
        <v>3193</v>
      </c>
      <c r="F37" t="s">
        <v>3124</v>
      </c>
      <c r="G37" t="s">
        <v>1752</v>
      </c>
    </row>
    <row r="38" spans="1:7" ht="11.25" customHeight="1">
      <c r="A38" s="309" t="s">
        <v>16</v>
      </c>
      <c r="B38" t="s">
        <v>3194</v>
      </c>
      <c r="C38" t="s">
        <v>3195</v>
      </c>
      <c r="D38" t="s">
        <v>3194</v>
      </c>
      <c r="E38" t="s">
        <v>3195</v>
      </c>
      <c r="F38" t="s">
        <v>3124</v>
      </c>
      <c r="G38" t="s">
        <v>1760</v>
      </c>
    </row>
    <row r="39" spans="1:7" ht="11.25" customHeight="1">
      <c r="A39" s="309" t="s">
        <v>16</v>
      </c>
      <c r="B39" t="s">
        <v>3196</v>
      </c>
      <c r="C39" t="s">
        <v>3197</v>
      </c>
      <c r="D39" t="s">
        <v>3196</v>
      </c>
      <c r="E39" t="s">
        <v>3197</v>
      </c>
      <c r="F39" t="s">
        <v>3133</v>
      </c>
      <c r="G39" t="s">
        <v>1766</v>
      </c>
    </row>
    <row r="40" spans="1:7" ht="11.25" customHeight="1">
      <c r="A40" s="309" t="s">
        <v>16</v>
      </c>
      <c r="B40" t="s">
        <v>3198</v>
      </c>
      <c r="C40" t="s">
        <v>3199</v>
      </c>
      <c r="D40" t="s">
        <v>3198</v>
      </c>
      <c r="E40" t="s">
        <v>3199</v>
      </c>
      <c r="F40" t="s">
        <v>3124</v>
      </c>
      <c r="G40" t="s">
        <v>1771</v>
      </c>
    </row>
    <row r="41" spans="1:7" ht="11.25" customHeight="1">
      <c r="A41" s="309" t="s">
        <v>16</v>
      </c>
      <c r="B41" t="s">
        <v>3200</v>
      </c>
      <c r="C41" t="s">
        <v>3201</v>
      </c>
      <c r="D41" t="s">
        <v>3200</v>
      </c>
      <c r="E41" t="s">
        <v>3201</v>
      </c>
      <c r="F41" t="s">
        <v>3124</v>
      </c>
      <c r="G41" t="s">
        <v>1775</v>
      </c>
    </row>
    <row r="42" spans="1:7" ht="11.25" customHeight="1">
      <c r="A42" s="309" t="s">
        <v>16</v>
      </c>
      <c r="B42" t="s">
        <v>3202</v>
      </c>
      <c r="C42" t="s">
        <v>3203</v>
      </c>
      <c r="D42" t="s">
        <v>3202</v>
      </c>
      <c r="E42" t="s">
        <v>3203</v>
      </c>
      <c r="F42" t="s">
        <v>3124</v>
      </c>
      <c r="G42" t="s">
        <v>1778</v>
      </c>
    </row>
    <row r="43" spans="1:7" ht="11.25" customHeight="1">
      <c r="A43" s="309" t="s">
        <v>16</v>
      </c>
      <c r="B43" t="s">
        <v>3204</v>
      </c>
      <c r="C43" t="s">
        <v>3205</v>
      </c>
      <c r="D43" t="s">
        <v>3204</v>
      </c>
      <c r="E43" t="s">
        <v>3205</v>
      </c>
      <c r="F43" t="s">
        <v>3124</v>
      </c>
      <c r="G43" t="s">
        <v>1785</v>
      </c>
    </row>
    <row r="44" spans="1:7" ht="11.25" customHeight="1">
      <c r="A44" s="309" t="s">
        <v>16</v>
      </c>
      <c r="B44" t="s">
        <v>3206</v>
      </c>
      <c r="C44" t="s">
        <v>3207</v>
      </c>
      <c r="D44" t="s">
        <v>3206</v>
      </c>
      <c r="E44" t="s">
        <v>3207</v>
      </c>
      <c r="F44" t="s">
        <v>3124</v>
      </c>
      <c r="G44" t="s">
        <v>1794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
  <sheetViews>
    <sheetView showGridLines="0" workbookViewId="0"/>
  </sheetViews>
  <sheetFormatPr defaultColWidth="9.140625" defaultRowHeight="11.25" customHeight="1"/>
  <cols>
    <col min="1" max="1" width="13.85546875" style="2397" customWidth="1"/>
    <col min="2" max="2" width="10.42578125" style="2397" customWidth="1"/>
    <col min="3" max="3" width="7.5703125" style="2397" customWidth="1"/>
    <col min="4" max="4" width="13.85546875" style="2397" customWidth="1"/>
    <col min="5" max="5" width="11.5703125" style="2397" customWidth="1"/>
    <col min="6" max="6" width="16.28515625" style="2397" customWidth="1"/>
    <col min="7" max="7" width="16" style="2397" customWidth="1"/>
    <col min="8" max="9" width="16.140625" style="2397" customWidth="1"/>
  </cols>
  <sheetData>
    <row r="1" spans="1:9" ht="11.25" customHeight="1">
      <c r="A1" s="765" t="s">
        <v>3208</v>
      </c>
      <c r="B1" s="765" t="s">
        <v>3209</v>
      </c>
      <c r="C1" s="1075" t="s">
        <v>3210</v>
      </c>
      <c r="D1" s="765" t="s">
        <v>3211</v>
      </c>
      <c r="E1" s="765" t="s">
        <v>3212</v>
      </c>
      <c r="F1" s="1075" t="s">
        <v>3213</v>
      </c>
      <c r="G1" s="1075" t="s">
        <v>3214</v>
      </c>
      <c r="H1" s="1075" t="s">
        <v>3215</v>
      </c>
      <c r="I1" s="1075" t="s">
        <v>3216</v>
      </c>
    </row>
    <row r="2" spans="1:9" ht="11.25" customHeight="1">
      <c r="A2" s="2266" t="s">
        <v>109</v>
      </c>
      <c r="B2" s="2266" t="s">
        <v>1091</v>
      </c>
      <c r="C2" s="2266" t="s">
        <v>3217</v>
      </c>
      <c r="D2" s="2266" t="s">
        <v>1095</v>
      </c>
      <c r="E2" s="2266" t="s">
        <v>1096</v>
      </c>
      <c r="F2" s="2266" t="s">
        <v>1097</v>
      </c>
      <c r="G2" s="2266" t="s">
        <v>1098</v>
      </c>
      <c r="H2" s="2266" t="s">
        <v>1099</v>
      </c>
      <c r="I2" s="2266" t="s">
        <v>1100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AL77"/>
  <sheetViews>
    <sheetView workbookViewId="0"/>
  </sheetViews>
  <sheetFormatPr defaultRowHeight="11.25" customHeight="1"/>
  <sheetData>
    <row r="1" spans="1:38" ht="11.25" customHeight="1">
      <c r="A1" t="s">
        <v>2382</v>
      </c>
      <c r="B1" t="s">
        <v>2383</v>
      </c>
      <c r="C1" t="s">
        <v>2384</v>
      </c>
      <c r="D1" t="s">
        <v>3218</v>
      </c>
      <c r="E1" t="s">
        <v>3219</v>
      </c>
      <c r="F1" t="s">
        <v>3220</v>
      </c>
      <c r="G1" t="s">
        <v>3221</v>
      </c>
      <c r="H1" t="s">
        <v>3222</v>
      </c>
      <c r="I1" t="s">
        <v>3223</v>
      </c>
      <c r="J1" t="s">
        <v>3224</v>
      </c>
      <c r="K1" t="s">
        <v>3225</v>
      </c>
      <c r="L1" t="s">
        <v>3226</v>
      </c>
      <c r="M1" t="s">
        <v>3227</v>
      </c>
      <c r="N1" t="s">
        <v>3228</v>
      </c>
      <c r="O1" t="s">
        <v>3116</v>
      </c>
      <c r="P1" t="s">
        <v>3118</v>
      </c>
      <c r="Q1" t="s">
        <v>3119</v>
      </c>
      <c r="R1" t="s">
        <v>3229</v>
      </c>
      <c r="S1" t="s">
        <v>3230</v>
      </c>
      <c r="T1" t="s">
        <v>3231</v>
      </c>
      <c r="U1" t="s">
        <v>3232</v>
      </c>
      <c r="V1" t="s">
        <v>3233</v>
      </c>
      <c r="W1" t="s">
        <v>3234</v>
      </c>
      <c r="X1" t="s">
        <v>3235</v>
      </c>
      <c r="Y1" t="s">
        <v>3236</v>
      </c>
      <c r="Z1" t="s">
        <v>3237</v>
      </c>
      <c r="AA1" t="s">
        <v>3238</v>
      </c>
      <c r="AB1" t="s">
        <v>3239</v>
      </c>
      <c r="AC1" t="s">
        <v>3240</v>
      </c>
      <c r="AD1" t="s">
        <v>3241</v>
      </c>
      <c r="AE1" t="s">
        <v>3242</v>
      </c>
      <c r="AF1" t="s">
        <v>3243</v>
      </c>
      <c r="AG1" t="s">
        <v>3244</v>
      </c>
      <c r="AH1" t="s">
        <v>3245</v>
      </c>
      <c r="AI1" t="s">
        <v>3246</v>
      </c>
      <c r="AJ1" t="s">
        <v>3247</v>
      </c>
      <c r="AK1" t="s">
        <v>3248</v>
      </c>
      <c r="AL1" t="s">
        <v>3249</v>
      </c>
    </row>
    <row r="2" spans="1:38" ht="11.25" customHeight="1">
      <c r="A2" t="s">
        <v>22</v>
      </c>
      <c r="B2" t="s">
        <v>48</v>
      </c>
      <c r="C2" t="s">
        <v>50</v>
      </c>
      <c r="D2" t="s">
        <v>22</v>
      </c>
      <c r="E2" t="s">
        <v>670</v>
      </c>
      <c r="F2" t="s">
        <v>1139</v>
      </c>
      <c r="G2" t="s">
        <v>100</v>
      </c>
      <c r="H2" t="s">
        <v>100</v>
      </c>
      <c r="I2" t="s">
        <v>101</v>
      </c>
      <c r="J2" t="s">
        <v>1140</v>
      </c>
      <c r="K2" t="s">
        <v>1141</v>
      </c>
      <c r="L2" t="s">
        <v>1157</v>
      </c>
      <c r="M2" t="s">
        <v>93</v>
      </c>
      <c r="N2" t="s">
        <v>109</v>
      </c>
      <c r="O2" t="s">
        <v>100</v>
      </c>
      <c r="P2" t="s">
        <v>100</v>
      </c>
      <c r="Q2" t="s">
        <v>101</v>
      </c>
      <c r="R2" t="s">
        <v>1140</v>
      </c>
      <c r="S2" t="s">
        <v>1141</v>
      </c>
      <c r="T2" t="s">
        <v>3250</v>
      </c>
      <c r="U2" t="s">
        <v>3251</v>
      </c>
      <c r="V2" t="s">
        <v>578</v>
      </c>
      <c r="W2" t="s">
        <v>3252</v>
      </c>
      <c r="X2" t="s">
        <v>3253</v>
      </c>
      <c r="Y2" t="s">
        <v>3254</v>
      </c>
      <c r="Z2" t="s">
        <v>858</v>
      </c>
      <c r="AA2" t="s">
        <v>858</v>
      </c>
      <c r="AB2" t="s">
        <v>578</v>
      </c>
      <c r="AC2" t="s">
        <v>62</v>
      </c>
      <c r="AD2" t="s">
        <v>62</v>
      </c>
      <c r="AE2" t="s">
        <v>62</v>
      </c>
      <c r="AF2" t="s">
        <v>3255</v>
      </c>
      <c r="AG2" t="s">
        <v>3256</v>
      </c>
      <c r="AH2" t="s">
        <v>3255</v>
      </c>
      <c r="AI2" t="s">
        <v>3256</v>
      </c>
      <c r="AJ2" t="s">
        <v>3255</v>
      </c>
      <c r="AK2" t="s">
        <v>3256</v>
      </c>
      <c r="AL2" t="s">
        <v>3257</v>
      </c>
    </row>
    <row r="3" spans="1:38" ht="11.25" customHeight="1">
      <c r="A3" t="s">
        <v>22</v>
      </c>
      <c r="B3" t="s">
        <v>48</v>
      </c>
      <c r="C3" t="s">
        <v>50</v>
      </c>
      <c r="D3" t="s">
        <v>22</v>
      </c>
      <c r="E3" t="s">
        <v>666</v>
      </c>
      <c r="F3" t="s">
        <v>1139</v>
      </c>
      <c r="G3" t="s">
        <v>100</v>
      </c>
      <c r="H3" t="s">
        <v>100</v>
      </c>
      <c r="I3" t="s">
        <v>101</v>
      </c>
      <c r="J3" t="s">
        <v>1140</v>
      </c>
      <c r="K3" t="s">
        <v>1141</v>
      </c>
      <c r="L3" t="s">
        <v>3258</v>
      </c>
      <c r="M3" t="s">
        <v>1829</v>
      </c>
      <c r="N3" t="s">
        <v>109</v>
      </c>
      <c r="O3" t="s">
        <v>100</v>
      </c>
      <c r="P3" t="s">
        <v>100</v>
      </c>
      <c r="Q3" t="s">
        <v>101</v>
      </c>
      <c r="R3" t="s">
        <v>1140</v>
      </c>
      <c r="S3" t="s">
        <v>1141</v>
      </c>
      <c r="T3" t="s">
        <v>3259</v>
      </c>
      <c r="U3" t="s">
        <v>3260</v>
      </c>
      <c r="V3" t="s">
        <v>3261</v>
      </c>
      <c r="W3" t="s">
        <v>3252</v>
      </c>
      <c r="X3" t="s">
        <v>3262</v>
      </c>
      <c r="Y3" t="s">
        <v>3263</v>
      </c>
      <c r="Z3" t="s">
        <v>3264</v>
      </c>
      <c r="AA3" t="s">
        <v>3265</v>
      </c>
      <c r="AB3" t="s">
        <v>3261</v>
      </c>
      <c r="AC3" t="s">
        <v>62</v>
      </c>
      <c r="AD3" t="s">
        <v>62</v>
      </c>
      <c r="AE3" t="s">
        <v>62</v>
      </c>
      <c r="AF3" t="s">
        <v>3266</v>
      </c>
      <c r="AG3" t="s">
        <v>3267</v>
      </c>
      <c r="AH3" t="s">
        <v>3266</v>
      </c>
      <c r="AI3" t="s">
        <v>3267</v>
      </c>
      <c r="AJ3" t="s">
        <v>3266</v>
      </c>
      <c r="AK3" t="s">
        <v>3267</v>
      </c>
      <c r="AL3" t="s">
        <v>3257</v>
      </c>
    </row>
    <row r="4" spans="1:38" ht="11.25" customHeight="1">
      <c r="A4" t="s">
        <v>22</v>
      </c>
      <c r="B4" t="s">
        <v>48</v>
      </c>
      <c r="C4" t="s">
        <v>50</v>
      </c>
      <c r="D4" t="s">
        <v>22</v>
      </c>
      <c r="E4" t="s">
        <v>1165</v>
      </c>
      <c r="F4" t="s">
        <v>1139</v>
      </c>
      <c r="G4" t="s">
        <v>100</v>
      </c>
      <c r="H4" t="s">
        <v>100</v>
      </c>
      <c r="I4" t="s">
        <v>101</v>
      </c>
      <c r="J4" t="s">
        <v>1140</v>
      </c>
      <c r="K4" t="s">
        <v>1141</v>
      </c>
      <c r="L4" t="s">
        <v>1166</v>
      </c>
      <c r="M4" t="s">
        <v>1167</v>
      </c>
      <c r="N4" t="s">
        <v>109</v>
      </c>
      <c r="O4" t="s">
        <v>100</v>
      </c>
      <c r="P4" t="s">
        <v>100</v>
      </c>
      <c r="Q4" t="s">
        <v>101</v>
      </c>
      <c r="R4" t="s">
        <v>1140</v>
      </c>
      <c r="S4" t="s">
        <v>1141</v>
      </c>
      <c r="T4" t="s">
        <v>3259</v>
      </c>
      <c r="U4" t="s">
        <v>3260</v>
      </c>
      <c r="V4" t="s">
        <v>3261</v>
      </c>
      <c r="W4" t="s">
        <v>3252</v>
      </c>
      <c r="X4" t="s">
        <v>3262</v>
      </c>
      <c r="Y4" t="s">
        <v>3263</v>
      </c>
      <c r="Z4" t="s">
        <v>3264</v>
      </c>
      <c r="AA4" t="s">
        <v>3265</v>
      </c>
      <c r="AB4" t="s">
        <v>3261</v>
      </c>
      <c r="AC4" t="s">
        <v>62</v>
      </c>
      <c r="AD4" t="s">
        <v>62</v>
      </c>
      <c r="AE4" t="s">
        <v>62</v>
      </c>
      <c r="AF4" t="s">
        <v>3268</v>
      </c>
      <c r="AG4" t="s">
        <v>3269</v>
      </c>
      <c r="AH4" t="s">
        <v>3268</v>
      </c>
      <c r="AI4" t="s">
        <v>3270</v>
      </c>
      <c r="AJ4" t="s">
        <v>3268</v>
      </c>
      <c r="AK4" t="s">
        <v>3270</v>
      </c>
      <c r="AL4" t="s">
        <v>3257</v>
      </c>
    </row>
    <row r="5" spans="1:38" ht="11.25" customHeight="1">
      <c r="A5" t="s">
        <v>22</v>
      </c>
      <c r="B5" t="s">
        <v>48</v>
      </c>
      <c r="C5" t="s">
        <v>50</v>
      </c>
      <c r="D5" t="s">
        <v>22</v>
      </c>
      <c r="E5" t="s">
        <v>3271</v>
      </c>
      <c r="F5" t="s">
        <v>1139</v>
      </c>
      <c r="G5" t="s">
        <v>100</v>
      </c>
      <c r="H5" t="s">
        <v>100</v>
      </c>
      <c r="I5" t="s">
        <v>101</v>
      </c>
      <c r="J5" t="s">
        <v>1140</v>
      </c>
      <c r="K5" t="s">
        <v>1141</v>
      </c>
      <c r="L5" t="s">
        <v>3272</v>
      </c>
      <c r="M5" t="s">
        <v>3273</v>
      </c>
      <c r="N5" t="s">
        <v>109</v>
      </c>
      <c r="O5" t="s">
        <v>100</v>
      </c>
      <c r="P5" t="s">
        <v>100</v>
      </c>
      <c r="Q5" t="s">
        <v>101</v>
      </c>
      <c r="R5" t="s">
        <v>1140</v>
      </c>
      <c r="S5" t="s">
        <v>1141</v>
      </c>
      <c r="T5" t="s">
        <v>3259</v>
      </c>
      <c r="U5" t="s">
        <v>3260</v>
      </c>
      <c r="V5" t="s">
        <v>3261</v>
      </c>
      <c r="W5" t="s">
        <v>3252</v>
      </c>
      <c r="X5" t="s">
        <v>3262</v>
      </c>
      <c r="Y5" t="s">
        <v>3263</v>
      </c>
      <c r="Z5" t="s">
        <v>3264</v>
      </c>
      <c r="AA5" t="s">
        <v>3265</v>
      </c>
      <c r="AB5" t="s">
        <v>3261</v>
      </c>
      <c r="AC5" t="s">
        <v>62</v>
      </c>
      <c r="AD5" t="s">
        <v>62</v>
      </c>
      <c r="AE5" t="s">
        <v>62</v>
      </c>
      <c r="AF5" t="s">
        <v>3266</v>
      </c>
      <c r="AG5" t="s">
        <v>3274</v>
      </c>
      <c r="AH5" t="s">
        <v>3275</v>
      </c>
      <c r="AI5" t="s">
        <v>3274</v>
      </c>
      <c r="AJ5" t="s">
        <v>3275</v>
      </c>
      <c r="AK5" t="s">
        <v>3274</v>
      </c>
      <c r="AL5" t="s">
        <v>3257</v>
      </c>
    </row>
    <row r="6" spans="1:38" ht="11.25" customHeight="1">
      <c r="A6" t="s">
        <v>22</v>
      </c>
      <c r="B6" t="s">
        <v>48</v>
      </c>
      <c r="C6" t="s">
        <v>50</v>
      </c>
      <c r="D6" t="s">
        <v>22</v>
      </c>
      <c r="E6" t="s">
        <v>3276</v>
      </c>
      <c r="F6" t="s">
        <v>1139</v>
      </c>
      <c r="G6" t="s">
        <v>100</v>
      </c>
      <c r="H6" t="s">
        <v>100</v>
      </c>
      <c r="I6" t="s">
        <v>101</v>
      </c>
      <c r="J6" t="s">
        <v>1140</v>
      </c>
      <c r="K6" t="s">
        <v>1141</v>
      </c>
      <c r="L6" t="s">
        <v>3277</v>
      </c>
      <c r="M6" t="s">
        <v>3278</v>
      </c>
      <c r="N6" t="s">
        <v>109</v>
      </c>
      <c r="O6" t="s">
        <v>100</v>
      </c>
      <c r="P6" t="s">
        <v>100</v>
      </c>
      <c r="Q6" t="s">
        <v>101</v>
      </c>
      <c r="R6" t="s">
        <v>1140</v>
      </c>
      <c r="S6" t="s">
        <v>1141</v>
      </c>
      <c r="T6" t="s">
        <v>3250</v>
      </c>
      <c r="U6" t="s">
        <v>3260</v>
      </c>
      <c r="V6" t="s">
        <v>3279</v>
      </c>
      <c r="W6" t="s">
        <v>3252</v>
      </c>
      <c r="X6" t="s">
        <v>3262</v>
      </c>
      <c r="Y6" t="s">
        <v>3263</v>
      </c>
      <c r="Z6" t="s">
        <v>3280</v>
      </c>
      <c r="AA6" t="s">
        <v>3281</v>
      </c>
      <c r="AB6" t="s">
        <v>3279</v>
      </c>
      <c r="AC6" t="s">
        <v>62</v>
      </c>
      <c r="AD6" t="s">
        <v>62</v>
      </c>
      <c r="AE6" t="s">
        <v>62</v>
      </c>
      <c r="AF6" t="s">
        <v>111</v>
      </c>
      <c r="AG6" t="s">
        <v>3282</v>
      </c>
      <c r="AH6" t="s">
        <v>111</v>
      </c>
      <c r="AI6" t="s">
        <v>3282</v>
      </c>
      <c r="AJ6" t="s">
        <v>111</v>
      </c>
      <c r="AK6" t="s">
        <v>3282</v>
      </c>
      <c r="AL6" t="s">
        <v>3257</v>
      </c>
    </row>
    <row r="7" spans="1:38" ht="11.25" customHeight="1">
      <c r="A7" t="s">
        <v>22</v>
      </c>
      <c r="B7" t="s">
        <v>48</v>
      </c>
      <c r="C7" t="s">
        <v>50</v>
      </c>
      <c r="D7" t="s">
        <v>22</v>
      </c>
      <c r="E7" t="s">
        <v>3283</v>
      </c>
      <c r="F7" t="s">
        <v>1139</v>
      </c>
      <c r="G7" t="s">
        <v>100</v>
      </c>
      <c r="H7" t="s">
        <v>100</v>
      </c>
      <c r="I7" t="s">
        <v>101</v>
      </c>
      <c r="J7" t="s">
        <v>1140</v>
      </c>
      <c r="K7" t="s">
        <v>1141</v>
      </c>
      <c r="L7" t="s">
        <v>3284</v>
      </c>
      <c r="M7" t="s">
        <v>3285</v>
      </c>
      <c r="N7" t="s">
        <v>109</v>
      </c>
      <c r="O7" t="s">
        <v>100</v>
      </c>
      <c r="P7" t="s">
        <v>100</v>
      </c>
      <c r="Q7" t="s">
        <v>101</v>
      </c>
      <c r="R7" t="s">
        <v>1140</v>
      </c>
      <c r="S7" t="s">
        <v>1141</v>
      </c>
      <c r="T7" t="s">
        <v>3250</v>
      </c>
      <c r="U7" t="s">
        <v>3260</v>
      </c>
      <c r="V7" t="s">
        <v>3279</v>
      </c>
      <c r="W7" t="s">
        <v>3252</v>
      </c>
      <c r="X7" t="s">
        <v>3262</v>
      </c>
      <c r="Y7" t="s">
        <v>3263</v>
      </c>
      <c r="Z7" t="s">
        <v>3280</v>
      </c>
      <c r="AA7" t="s">
        <v>3281</v>
      </c>
      <c r="AB7" t="s">
        <v>3279</v>
      </c>
      <c r="AC7" t="s">
        <v>62</v>
      </c>
      <c r="AD7" t="s">
        <v>62</v>
      </c>
      <c r="AE7" t="s">
        <v>62</v>
      </c>
      <c r="AF7" t="s">
        <v>3286</v>
      </c>
      <c r="AG7" t="s">
        <v>3287</v>
      </c>
      <c r="AH7" t="s">
        <v>3286</v>
      </c>
      <c r="AI7" t="s">
        <v>3287</v>
      </c>
      <c r="AJ7" t="s">
        <v>3286</v>
      </c>
      <c r="AK7" t="s">
        <v>3287</v>
      </c>
      <c r="AL7" t="s">
        <v>3257</v>
      </c>
    </row>
    <row r="8" spans="1:38" ht="11.25" customHeight="1">
      <c r="A8" t="s">
        <v>22</v>
      </c>
      <c r="B8" t="s">
        <v>48</v>
      </c>
      <c r="C8" t="s">
        <v>50</v>
      </c>
      <c r="D8" t="s">
        <v>22</v>
      </c>
      <c r="E8" t="s">
        <v>3288</v>
      </c>
      <c r="F8" t="s">
        <v>1170</v>
      </c>
      <c r="G8" t="s">
        <v>100</v>
      </c>
      <c r="H8" t="s">
        <v>100</v>
      </c>
      <c r="I8" t="s">
        <v>101</v>
      </c>
      <c r="J8" t="s">
        <v>1140</v>
      </c>
      <c r="K8" t="s">
        <v>1141</v>
      </c>
      <c r="L8" t="s">
        <v>3289</v>
      </c>
      <c r="M8" t="s">
        <v>1732</v>
      </c>
      <c r="N8" t="s">
        <v>109</v>
      </c>
      <c r="O8" t="s">
        <v>100</v>
      </c>
      <c r="P8" t="s">
        <v>100</v>
      </c>
      <c r="Q8" t="s">
        <v>101</v>
      </c>
      <c r="R8" t="s">
        <v>1140</v>
      </c>
      <c r="S8" t="s">
        <v>1141</v>
      </c>
      <c r="T8" t="s">
        <v>3259</v>
      </c>
      <c r="U8" t="s">
        <v>3260</v>
      </c>
      <c r="V8" t="s">
        <v>3261</v>
      </c>
      <c r="W8" t="s">
        <v>3252</v>
      </c>
      <c r="X8" t="s">
        <v>3262</v>
      </c>
      <c r="Y8" t="s">
        <v>3263</v>
      </c>
      <c r="Z8" t="s">
        <v>3264</v>
      </c>
      <c r="AA8" t="s">
        <v>3265</v>
      </c>
      <c r="AB8" t="s">
        <v>3261</v>
      </c>
      <c r="AC8" t="s">
        <v>62</v>
      </c>
      <c r="AD8" t="s">
        <v>19</v>
      </c>
      <c r="AE8" t="s">
        <v>19</v>
      </c>
      <c r="AF8" t="s">
        <v>3290</v>
      </c>
      <c r="AG8" t="s">
        <v>3291</v>
      </c>
      <c r="AH8" t="s">
        <v>22</v>
      </c>
      <c r="AI8" t="s">
        <v>22</v>
      </c>
      <c r="AJ8" t="s">
        <v>22</v>
      </c>
      <c r="AK8" t="s">
        <v>22</v>
      </c>
      <c r="AL8" t="s">
        <v>3257</v>
      </c>
    </row>
    <row r="9" spans="1:38" ht="11.25" customHeight="1">
      <c r="A9" t="s">
        <v>22</v>
      </c>
      <c r="B9" t="s">
        <v>48</v>
      </c>
      <c r="C9" t="s">
        <v>50</v>
      </c>
      <c r="D9" t="s">
        <v>22</v>
      </c>
      <c r="E9" t="s">
        <v>3292</v>
      </c>
      <c r="F9" t="s">
        <v>1139</v>
      </c>
      <c r="G9" t="s">
        <v>100</v>
      </c>
      <c r="H9" t="s">
        <v>100</v>
      </c>
      <c r="I9" t="s">
        <v>101</v>
      </c>
      <c r="J9" t="s">
        <v>1140</v>
      </c>
      <c r="K9" t="s">
        <v>1141</v>
      </c>
      <c r="L9" t="s">
        <v>3293</v>
      </c>
      <c r="M9" t="s">
        <v>1771</v>
      </c>
      <c r="N9" t="s">
        <v>109</v>
      </c>
      <c r="O9" t="s">
        <v>100</v>
      </c>
      <c r="P9" t="s">
        <v>100</v>
      </c>
      <c r="Q9" t="s">
        <v>101</v>
      </c>
      <c r="R9" t="s">
        <v>1140</v>
      </c>
      <c r="S9" t="s">
        <v>1141</v>
      </c>
      <c r="T9" t="s">
        <v>3250</v>
      </c>
      <c r="U9" t="s">
        <v>3260</v>
      </c>
      <c r="V9" t="s">
        <v>3279</v>
      </c>
      <c r="W9" t="s">
        <v>3252</v>
      </c>
      <c r="X9" t="s">
        <v>3262</v>
      </c>
      <c r="Y9" t="s">
        <v>3263</v>
      </c>
      <c r="Z9" t="s">
        <v>3280</v>
      </c>
      <c r="AA9" t="s">
        <v>3281</v>
      </c>
      <c r="AB9" t="s">
        <v>3279</v>
      </c>
      <c r="AC9" t="s">
        <v>62</v>
      </c>
      <c r="AD9" t="s">
        <v>62</v>
      </c>
      <c r="AE9" t="s">
        <v>62</v>
      </c>
      <c r="AF9" t="s">
        <v>994</v>
      </c>
      <c r="AG9" t="s">
        <v>3294</v>
      </c>
      <c r="AH9" t="s">
        <v>994</v>
      </c>
      <c r="AI9" t="s">
        <v>3294</v>
      </c>
      <c r="AJ9" t="s">
        <v>994</v>
      </c>
      <c r="AK9" t="s">
        <v>3294</v>
      </c>
      <c r="AL9" t="s">
        <v>3257</v>
      </c>
    </row>
    <row r="10" spans="1:38" ht="11.25" customHeight="1">
      <c r="A10" t="s">
        <v>22</v>
      </c>
      <c r="B10" t="s">
        <v>48</v>
      </c>
      <c r="C10" t="s">
        <v>50</v>
      </c>
      <c r="D10" t="s">
        <v>22</v>
      </c>
      <c r="E10" t="s">
        <v>3295</v>
      </c>
      <c r="F10" t="s">
        <v>1139</v>
      </c>
      <c r="G10" t="s">
        <v>100</v>
      </c>
      <c r="H10" t="s">
        <v>100</v>
      </c>
      <c r="I10" t="s">
        <v>101</v>
      </c>
      <c r="J10" t="s">
        <v>1140</v>
      </c>
      <c r="K10" t="s">
        <v>1141</v>
      </c>
      <c r="L10" t="s">
        <v>3258</v>
      </c>
      <c r="M10" t="s">
        <v>1760</v>
      </c>
      <c r="N10" t="s">
        <v>109</v>
      </c>
      <c r="O10" t="s">
        <v>100</v>
      </c>
      <c r="P10" t="s">
        <v>100</v>
      </c>
      <c r="Q10" t="s">
        <v>101</v>
      </c>
      <c r="R10" t="s">
        <v>1140</v>
      </c>
      <c r="S10" t="s">
        <v>1141</v>
      </c>
      <c r="T10" t="s">
        <v>3250</v>
      </c>
      <c r="U10" t="s">
        <v>3260</v>
      </c>
      <c r="V10" t="s">
        <v>3279</v>
      </c>
      <c r="W10" t="s">
        <v>3252</v>
      </c>
      <c r="X10" t="s">
        <v>3262</v>
      </c>
      <c r="Y10" t="s">
        <v>3263</v>
      </c>
      <c r="Z10" t="s">
        <v>3280</v>
      </c>
      <c r="AA10" t="s">
        <v>3281</v>
      </c>
      <c r="AB10" t="s">
        <v>3279</v>
      </c>
      <c r="AC10" t="s">
        <v>62</v>
      </c>
      <c r="AD10" t="s">
        <v>62</v>
      </c>
      <c r="AE10" t="s">
        <v>62</v>
      </c>
      <c r="AF10" t="s">
        <v>3296</v>
      </c>
      <c r="AG10" t="s">
        <v>3297</v>
      </c>
      <c r="AH10" t="s">
        <v>3298</v>
      </c>
      <c r="AI10" t="s">
        <v>3297</v>
      </c>
      <c r="AJ10" t="s">
        <v>3298</v>
      </c>
      <c r="AK10" t="s">
        <v>3297</v>
      </c>
      <c r="AL10" t="s">
        <v>3257</v>
      </c>
    </row>
    <row r="11" spans="1:38" ht="11.25" customHeight="1">
      <c r="A11" t="s">
        <v>22</v>
      </c>
      <c r="B11" t="s">
        <v>48</v>
      </c>
      <c r="C11" t="s">
        <v>50</v>
      </c>
      <c r="D11" t="s">
        <v>22</v>
      </c>
      <c r="E11" t="s">
        <v>3299</v>
      </c>
      <c r="F11" t="s">
        <v>1139</v>
      </c>
      <c r="G11" t="s">
        <v>100</v>
      </c>
      <c r="H11" t="s">
        <v>100</v>
      </c>
      <c r="I11" t="s">
        <v>101</v>
      </c>
      <c r="J11" t="s">
        <v>1140</v>
      </c>
      <c r="K11" t="s">
        <v>1141</v>
      </c>
      <c r="L11" t="s">
        <v>3300</v>
      </c>
      <c r="M11" t="s">
        <v>1738</v>
      </c>
      <c r="N11" t="s">
        <v>109</v>
      </c>
      <c r="O11" t="s">
        <v>100</v>
      </c>
      <c r="P11" t="s">
        <v>100</v>
      </c>
      <c r="Q11" t="s">
        <v>101</v>
      </c>
      <c r="R11" t="s">
        <v>1140</v>
      </c>
      <c r="S11" t="s">
        <v>1141</v>
      </c>
      <c r="T11" t="s">
        <v>3250</v>
      </c>
      <c r="U11" t="s">
        <v>3260</v>
      </c>
      <c r="V11" t="s">
        <v>3279</v>
      </c>
      <c r="W11" t="s">
        <v>3252</v>
      </c>
      <c r="X11" t="s">
        <v>3262</v>
      </c>
      <c r="Y11" t="s">
        <v>3263</v>
      </c>
      <c r="Z11" t="s">
        <v>3280</v>
      </c>
      <c r="AA11" t="s">
        <v>3281</v>
      </c>
      <c r="AB11" t="s">
        <v>3279</v>
      </c>
      <c r="AC11" t="s">
        <v>62</v>
      </c>
      <c r="AD11" t="s">
        <v>62</v>
      </c>
      <c r="AE11" t="s">
        <v>62</v>
      </c>
      <c r="AF11" t="s">
        <v>3301</v>
      </c>
      <c r="AG11" t="s">
        <v>795</v>
      </c>
      <c r="AH11" t="s">
        <v>3301</v>
      </c>
      <c r="AI11" t="s">
        <v>795</v>
      </c>
      <c r="AJ11" t="s">
        <v>3301</v>
      </c>
      <c r="AK11" t="s">
        <v>795</v>
      </c>
      <c r="AL11" t="s">
        <v>3257</v>
      </c>
    </row>
    <row r="12" spans="1:38" ht="11.25" customHeight="1">
      <c r="A12" t="s">
        <v>22</v>
      </c>
      <c r="B12" t="s">
        <v>48</v>
      </c>
      <c r="C12" t="s">
        <v>50</v>
      </c>
      <c r="D12" t="s">
        <v>22</v>
      </c>
      <c r="E12" t="s">
        <v>3302</v>
      </c>
      <c r="F12" t="s">
        <v>1139</v>
      </c>
      <c r="G12" t="s">
        <v>100</v>
      </c>
      <c r="H12" t="s">
        <v>100</v>
      </c>
      <c r="I12" t="s">
        <v>101</v>
      </c>
      <c r="J12" t="s">
        <v>1140</v>
      </c>
      <c r="K12" t="s">
        <v>1141</v>
      </c>
      <c r="L12" t="s">
        <v>3303</v>
      </c>
      <c r="M12" t="s">
        <v>151</v>
      </c>
      <c r="N12" t="s">
        <v>109</v>
      </c>
      <c r="O12" t="s">
        <v>100</v>
      </c>
      <c r="P12" t="s">
        <v>100</v>
      </c>
      <c r="Q12" t="s">
        <v>101</v>
      </c>
      <c r="R12" t="s">
        <v>1140</v>
      </c>
      <c r="S12" t="s">
        <v>1141</v>
      </c>
      <c r="T12" t="s">
        <v>3259</v>
      </c>
      <c r="U12" t="s">
        <v>3260</v>
      </c>
      <c r="V12" t="s">
        <v>3261</v>
      </c>
      <c r="W12" t="s">
        <v>3252</v>
      </c>
      <c r="X12" t="s">
        <v>3262</v>
      </c>
      <c r="Y12" t="s">
        <v>3263</v>
      </c>
      <c r="Z12" t="s">
        <v>3264</v>
      </c>
      <c r="AA12" t="s">
        <v>3265</v>
      </c>
      <c r="AB12" t="s">
        <v>3261</v>
      </c>
      <c r="AC12" t="s">
        <v>62</v>
      </c>
      <c r="AD12" t="s">
        <v>62</v>
      </c>
      <c r="AE12" t="s">
        <v>62</v>
      </c>
      <c r="AF12" t="s">
        <v>3304</v>
      </c>
      <c r="AG12" t="s">
        <v>3305</v>
      </c>
      <c r="AH12" t="s">
        <v>3306</v>
      </c>
      <c r="AI12" t="s">
        <v>3305</v>
      </c>
      <c r="AJ12" t="s">
        <v>3306</v>
      </c>
      <c r="AK12" t="s">
        <v>3305</v>
      </c>
      <c r="AL12" t="s">
        <v>3257</v>
      </c>
    </row>
    <row r="13" spans="1:38" ht="11.25" customHeight="1">
      <c r="A13" t="s">
        <v>22</v>
      </c>
      <c r="B13" t="s">
        <v>48</v>
      </c>
      <c r="C13" t="s">
        <v>50</v>
      </c>
      <c r="D13" t="s">
        <v>22</v>
      </c>
      <c r="E13" t="s">
        <v>3307</v>
      </c>
      <c r="F13" t="s">
        <v>1139</v>
      </c>
      <c r="G13" t="s">
        <v>100</v>
      </c>
      <c r="H13" t="s">
        <v>100</v>
      </c>
      <c r="I13" t="s">
        <v>101</v>
      </c>
      <c r="J13" t="s">
        <v>1140</v>
      </c>
      <c r="K13" t="s">
        <v>1141</v>
      </c>
      <c r="L13" t="s">
        <v>3308</v>
      </c>
      <c r="M13" t="s">
        <v>153</v>
      </c>
      <c r="N13" t="s">
        <v>109</v>
      </c>
      <c r="O13" t="s">
        <v>100</v>
      </c>
      <c r="P13" t="s">
        <v>100</v>
      </c>
      <c r="Q13" t="s">
        <v>101</v>
      </c>
      <c r="R13" t="s">
        <v>1140</v>
      </c>
      <c r="S13" t="s">
        <v>1141</v>
      </c>
      <c r="T13" t="s">
        <v>3259</v>
      </c>
      <c r="U13" t="s">
        <v>3260</v>
      </c>
      <c r="V13" t="s">
        <v>3261</v>
      </c>
      <c r="W13" t="s">
        <v>3252</v>
      </c>
      <c r="X13" t="s">
        <v>3262</v>
      </c>
      <c r="Y13" t="s">
        <v>3263</v>
      </c>
      <c r="Z13" t="s">
        <v>3264</v>
      </c>
      <c r="AA13" t="s">
        <v>3265</v>
      </c>
      <c r="AB13" t="s">
        <v>3261</v>
      </c>
      <c r="AC13" t="s">
        <v>62</v>
      </c>
      <c r="AD13" t="s">
        <v>62</v>
      </c>
      <c r="AE13" t="s">
        <v>62</v>
      </c>
      <c r="AF13" t="s">
        <v>3309</v>
      </c>
      <c r="AG13" t="s">
        <v>3310</v>
      </c>
      <c r="AH13" t="s">
        <v>3309</v>
      </c>
      <c r="AI13" t="s">
        <v>3310</v>
      </c>
      <c r="AJ13" t="s">
        <v>3309</v>
      </c>
      <c r="AK13" t="s">
        <v>3310</v>
      </c>
      <c r="AL13" t="s">
        <v>3257</v>
      </c>
    </row>
    <row r="14" spans="1:38" ht="11.25" customHeight="1">
      <c r="A14" t="s">
        <v>22</v>
      </c>
      <c r="B14" t="s">
        <v>48</v>
      </c>
      <c r="C14" t="s">
        <v>50</v>
      </c>
      <c r="D14" t="s">
        <v>22</v>
      </c>
      <c r="E14" t="s">
        <v>3311</v>
      </c>
      <c r="F14" t="s">
        <v>1139</v>
      </c>
      <c r="G14" t="s">
        <v>100</v>
      </c>
      <c r="H14" t="s">
        <v>100</v>
      </c>
      <c r="I14" t="s">
        <v>101</v>
      </c>
      <c r="J14" t="s">
        <v>1140</v>
      </c>
      <c r="K14" t="s">
        <v>1141</v>
      </c>
      <c r="L14" t="s">
        <v>3312</v>
      </c>
      <c r="M14" t="s">
        <v>151</v>
      </c>
      <c r="N14" t="s">
        <v>109</v>
      </c>
      <c r="O14" t="s">
        <v>100</v>
      </c>
      <c r="P14" t="s">
        <v>100</v>
      </c>
      <c r="Q14" t="s">
        <v>101</v>
      </c>
      <c r="R14" t="s">
        <v>1140</v>
      </c>
      <c r="S14" t="s">
        <v>1141</v>
      </c>
      <c r="T14" t="s">
        <v>3259</v>
      </c>
      <c r="U14" t="s">
        <v>3260</v>
      </c>
      <c r="V14" t="s">
        <v>3261</v>
      </c>
      <c r="W14" t="s">
        <v>3252</v>
      </c>
      <c r="X14" t="s">
        <v>3262</v>
      </c>
      <c r="Y14" t="s">
        <v>3263</v>
      </c>
      <c r="Z14" t="s">
        <v>3264</v>
      </c>
      <c r="AA14" t="s">
        <v>3265</v>
      </c>
      <c r="AB14" t="s">
        <v>3261</v>
      </c>
      <c r="AC14" t="s">
        <v>62</v>
      </c>
      <c r="AD14" t="s">
        <v>62</v>
      </c>
      <c r="AE14" t="s">
        <v>62</v>
      </c>
      <c r="AF14" t="s">
        <v>3313</v>
      </c>
      <c r="AG14" t="s">
        <v>3314</v>
      </c>
      <c r="AH14" t="s">
        <v>3313</v>
      </c>
      <c r="AI14" t="s">
        <v>3314</v>
      </c>
      <c r="AJ14" t="s">
        <v>3313</v>
      </c>
      <c r="AK14" t="s">
        <v>3314</v>
      </c>
      <c r="AL14" t="s">
        <v>3257</v>
      </c>
    </row>
    <row r="15" spans="1:38" ht="11.25" customHeight="1">
      <c r="A15" t="s">
        <v>22</v>
      </c>
      <c r="B15" t="s">
        <v>48</v>
      </c>
      <c r="C15" t="s">
        <v>50</v>
      </c>
      <c r="D15" t="s">
        <v>22</v>
      </c>
      <c r="E15" t="s">
        <v>3315</v>
      </c>
      <c r="F15" t="s">
        <v>1170</v>
      </c>
      <c r="G15" t="s">
        <v>100</v>
      </c>
      <c r="H15" t="s">
        <v>100</v>
      </c>
      <c r="I15" t="s">
        <v>101</v>
      </c>
      <c r="J15" t="s">
        <v>1140</v>
      </c>
      <c r="K15" t="s">
        <v>1141</v>
      </c>
      <c r="L15" t="s">
        <v>3316</v>
      </c>
      <c r="M15" t="s">
        <v>3317</v>
      </c>
      <c r="N15" t="s">
        <v>109</v>
      </c>
      <c r="O15" t="s">
        <v>100</v>
      </c>
      <c r="P15" t="s">
        <v>100</v>
      </c>
      <c r="Q15" t="s">
        <v>101</v>
      </c>
      <c r="R15" t="s">
        <v>1140</v>
      </c>
      <c r="S15" t="s">
        <v>1141</v>
      </c>
      <c r="T15" t="s">
        <v>3250</v>
      </c>
      <c r="U15" t="s">
        <v>3260</v>
      </c>
      <c r="V15" t="s">
        <v>3279</v>
      </c>
      <c r="W15" t="s">
        <v>3252</v>
      </c>
      <c r="X15" t="s">
        <v>3262</v>
      </c>
      <c r="Y15" t="s">
        <v>3263</v>
      </c>
      <c r="Z15" t="s">
        <v>3280</v>
      </c>
      <c r="AA15" t="s">
        <v>3281</v>
      </c>
      <c r="AB15" t="s">
        <v>3279</v>
      </c>
      <c r="AC15" t="s">
        <v>62</v>
      </c>
      <c r="AD15" t="s">
        <v>19</v>
      </c>
      <c r="AE15" t="s">
        <v>19</v>
      </c>
      <c r="AF15" t="s">
        <v>3318</v>
      </c>
      <c r="AG15" t="s">
        <v>3319</v>
      </c>
      <c r="AH15" t="s">
        <v>22</v>
      </c>
      <c r="AI15" t="s">
        <v>22</v>
      </c>
      <c r="AJ15" t="s">
        <v>22</v>
      </c>
      <c r="AK15" t="s">
        <v>22</v>
      </c>
      <c r="AL15" t="s">
        <v>3257</v>
      </c>
    </row>
    <row r="16" spans="1:38" ht="11.25" customHeight="1">
      <c r="A16" t="s">
        <v>22</v>
      </c>
      <c r="B16" t="s">
        <v>48</v>
      </c>
      <c r="C16" t="s">
        <v>50</v>
      </c>
      <c r="D16" t="s">
        <v>22</v>
      </c>
      <c r="E16" t="s">
        <v>3320</v>
      </c>
      <c r="F16" t="s">
        <v>1170</v>
      </c>
      <c r="G16" t="s">
        <v>100</v>
      </c>
      <c r="H16" t="s">
        <v>100</v>
      </c>
      <c r="I16" t="s">
        <v>101</v>
      </c>
      <c r="J16" t="s">
        <v>1140</v>
      </c>
      <c r="K16" t="s">
        <v>1141</v>
      </c>
      <c r="L16" t="s">
        <v>3321</v>
      </c>
      <c r="M16" t="s">
        <v>3322</v>
      </c>
      <c r="N16" t="s">
        <v>109</v>
      </c>
      <c r="O16" t="s">
        <v>100</v>
      </c>
      <c r="P16" t="s">
        <v>100</v>
      </c>
      <c r="Q16" t="s">
        <v>101</v>
      </c>
      <c r="R16" t="s">
        <v>1140</v>
      </c>
      <c r="S16" t="s">
        <v>1141</v>
      </c>
      <c r="T16" t="s">
        <v>3259</v>
      </c>
      <c r="U16" t="s">
        <v>3260</v>
      </c>
      <c r="V16" t="s">
        <v>3261</v>
      </c>
      <c r="W16" t="s">
        <v>3252</v>
      </c>
      <c r="X16" t="s">
        <v>3262</v>
      </c>
      <c r="Y16" t="s">
        <v>3263</v>
      </c>
      <c r="Z16" t="s">
        <v>3264</v>
      </c>
      <c r="AA16" t="s">
        <v>3265</v>
      </c>
      <c r="AB16" t="s">
        <v>3261</v>
      </c>
      <c r="AC16" t="s">
        <v>62</v>
      </c>
      <c r="AD16" t="s">
        <v>19</v>
      </c>
      <c r="AE16" t="s">
        <v>19</v>
      </c>
      <c r="AF16" t="s">
        <v>3304</v>
      </c>
      <c r="AG16" t="s">
        <v>3323</v>
      </c>
      <c r="AH16" t="s">
        <v>22</v>
      </c>
      <c r="AI16" t="s">
        <v>22</v>
      </c>
      <c r="AJ16" t="s">
        <v>22</v>
      </c>
      <c r="AK16" t="s">
        <v>22</v>
      </c>
      <c r="AL16" t="s">
        <v>3257</v>
      </c>
    </row>
    <row r="17" spans="1:38" ht="11.25" customHeight="1">
      <c r="A17" t="s">
        <v>22</v>
      </c>
      <c r="B17" t="s">
        <v>48</v>
      </c>
      <c r="C17" t="s">
        <v>50</v>
      </c>
      <c r="D17" t="s">
        <v>22</v>
      </c>
      <c r="E17" t="s">
        <v>3324</v>
      </c>
      <c r="F17" t="s">
        <v>1139</v>
      </c>
      <c r="G17" t="s">
        <v>100</v>
      </c>
      <c r="H17" t="s">
        <v>100</v>
      </c>
      <c r="I17" t="s">
        <v>101</v>
      </c>
      <c r="J17" t="s">
        <v>1140</v>
      </c>
      <c r="K17" t="s">
        <v>1141</v>
      </c>
      <c r="L17" t="s">
        <v>1149</v>
      </c>
      <c r="M17" t="s">
        <v>1775</v>
      </c>
      <c r="N17" t="s">
        <v>109</v>
      </c>
      <c r="O17" t="s">
        <v>100</v>
      </c>
      <c r="P17" t="s">
        <v>100</v>
      </c>
      <c r="Q17" t="s">
        <v>101</v>
      </c>
      <c r="R17" t="s">
        <v>1140</v>
      </c>
      <c r="S17" t="s">
        <v>1141</v>
      </c>
      <c r="T17" t="s">
        <v>3259</v>
      </c>
      <c r="U17" t="s">
        <v>3260</v>
      </c>
      <c r="V17" t="s">
        <v>3261</v>
      </c>
      <c r="W17" t="s">
        <v>3252</v>
      </c>
      <c r="X17" t="s">
        <v>3262</v>
      </c>
      <c r="Y17" t="s">
        <v>3263</v>
      </c>
      <c r="Z17" t="s">
        <v>3264</v>
      </c>
      <c r="AA17" t="s">
        <v>3265</v>
      </c>
      <c r="AB17" t="s">
        <v>3261</v>
      </c>
      <c r="AC17" t="s">
        <v>62</v>
      </c>
      <c r="AD17" t="s">
        <v>62</v>
      </c>
      <c r="AE17" t="s">
        <v>62</v>
      </c>
      <c r="AF17" t="s">
        <v>3313</v>
      </c>
      <c r="AG17" t="s">
        <v>3325</v>
      </c>
      <c r="AH17" t="s">
        <v>3313</v>
      </c>
      <c r="AI17" t="s">
        <v>3325</v>
      </c>
      <c r="AJ17" t="s">
        <v>3313</v>
      </c>
      <c r="AK17" t="s">
        <v>3325</v>
      </c>
      <c r="AL17" t="s">
        <v>3257</v>
      </c>
    </row>
    <row r="18" spans="1:38" ht="11.25" customHeight="1">
      <c r="A18" t="s">
        <v>22</v>
      </c>
      <c r="B18" t="s">
        <v>48</v>
      </c>
      <c r="C18" t="s">
        <v>50</v>
      </c>
      <c r="D18" t="s">
        <v>22</v>
      </c>
      <c r="E18" t="s">
        <v>3326</v>
      </c>
      <c r="F18" t="s">
        <v>1139</v>
      </c>
      <c r="G18" t="s">
        <v>100</v>
      </c>
      <c r="H18" t="s">
        <v>100</v>
      </c>
      <c r="I18" t="s">
        <v>101</v>
      </c>
      <c r="J18" t="s">
        <v>1140</v>
      </c>
      <c r="K18" t="s">
        <v>1141</v>
      </c>
      <c r="L18" t="s">
        <v>3327</v>
      </c>
      <c r="M18" t="s">
        <v>3328</v>
      </c>
      <c r="N18" t="s">
        <v>109</v>
      </c>
      <c r="O18" t="s">
        <v>100</v>
      </c>
      <c r="P18" t="s">
        <v>100</v>
      </c>
      <c r="Q18" t="s">
        <v>101</v>
      </c>
      <c r="R18" t="s">
        <v>1140</v>
      </c>
      <c r="S18" t="s">
        <v>1141</v>
      </c>
      <c r="T18" t="s">
        <v>3259</v>
      </c>
      <c r="U18" t="s">
        <v>3260</v>
      </c>
      <c r="V18" t="s">
        <v>3261</v>
      </c>
      <c r="W18" t="s">
        <v>3252</v>
      </c>
      <c r="X18" t="s">
        <v>3262</v>
      </c>
      <c r="Y18" t="s">
        <v>3263</v>
      </c>
      <c r="Z18" t="s">
        <v>3264</v>
      </c>
      <c r="AA18" t="s">
        <v>3265</v>
      </c>
      <c r="AB18" t="s">
        <v>3261</v>
      </c>
      <c r="AC18" t="s">
        <v>62</v>
      </c>
      <c r="AD18" t="s">
        <v>62</v>
      </c>
      <c r="AE18" t="s">
        <v>62</v>
      </c>
      <c r="AF18" t="s">
        <v>3329</v>
      </c>
      <c r="AG18" t="s">
        <v>3330</v>
      </c>
      <c r="AH18" t="s">
        <v>3331</v>
      </c>
      <c r="AI18" t="s">
        <v>3332</v>
      </c>
      <c r="AJ18" t="s">
        <v>3331</v>
      </c>
      <c r="AK18" t="s">
        <v>3332</v>
      </c>
      <c r="AL18" t="s">
        <v>3257</v>
      </c>
    </row>
    <row r="19" spans="1:38" ht="11.25" customHeight="1">
      <c r="A19" t="s">
        <v>22</v>
      </c>
      <c r="B19" t="s">
        <v>48</v>
      </c>
      <c r="C19" t="s">
        <v>50</v>
      </c>
      <c r="D19" t="s">
        <v>22</v>
      </c>
      <c r="E19" t="s">
        <v>3333</v>
      </c>
      <c r="F19" t="s">
        <v>1139</v>
      </c>
      <c r="G19" t="s">
        <v>100</v>
      </c>
      <c r="H19" t="s">
        <v>100</v>
      </c>
      <c r="I19" t="s">
        <v>101</v>
      </c>
      <c r="J19" t="s">
        <v>1140</v>
      </c>
      <c r="K19" t="s">
        <v>1141</v>
      </c>
      <c r="L19" t="s">
        <v>3334</v>
      </c>
      <c r="M19" t="s">
        <v>3335</v>
      </c>
      <c r="N19" t="s">
        <v>109</v>
      </c>
      <c r="O19" t="s">
        <v>100</v>
      </c>
      <c r="P19" t="s">
        <v>100</v>
      </c>
      <c r="Q19" t="s">
        <v>101</v>
      </c>
      <c r="R19" t="s">
        <v>1140</v>
      </c>
      <c r="S19" t="s">
        <v>1141</v>
      </c>
      <c r="T19" t="s">
        <v>3250</v>
      </c>
      <c r="U19" t="s">
        <v>3260</v>
      </c>
      <c r="V19" t="s">
        <v>3279</v>
      </c>
      <c r="W19" t="s">
        <v>3252</v>
      </c>
      <c r="X19" t="s">
        <v>3262</v>
      </c>
      <c r="Y19" t="s">
        <v>3263</v>
      </c>
      <c r="Z19" t="s">
        <v>3280</v>
      </c>
      <c r="AA19" t="s">
        <v>3281</v>
      </c>
      <c r="AB19" t="s">
        <v>3279</v>
      </c>
      <c r="AC19" t="s">
        <v>62</v>
      </c>
      <c r="AD19" t="s">
        <v>62</v>
      </c>
      <c r="AE19" t="s">
        <v>62</v>
      </c>
      <c r="AF19" t="s">
        <v>90</v>
      </c>
      <c r="AG19" t="s">
        <v>3336</v>
      </c>
      <c r="AH19" t="s">
        <v>90</v>
      </c>
      <c r="AI19" t="s">
        <v>3336</v>
      </c>
      <c r="AJ19" t="s">
        <v>90</v>
      </c>
      <c r="AK19" t="s">
        <v>3336</v>
      </c>
      <c r="AL19" t="s">
        <v>3257</v>
      </c>
    </row>
    <row r="20" spans="1:38" ht="11.25" customHeight="1">
      <c r="A20" t="s">
        <v>22</v>
      </c>
      <c r="B20" t="s">
        <v>48</v>
      </c>
      <c r="C20" t="s">
        <v>50</v>
      </c>
      <c r="D20" t="s">
        <v>22</v>
      </c>
      <c r="E20" t="s">
        <v>3337</v>
      </c>
      <c r="F20" t="s">
        <v>1139</v>
      </c>
      <c r="G20" t="s">
        <v>100</v>
      </c>
      <c r="H20" t="s">
        <v>100</v>
      </c>
      <c r="I20" t="s">
        <v>101</v>
      </c>
      <c r="J20" t="s">
        <v>1140</v>
      </c>
      <c r="K20" t="s">
        <v>1141</v>
      </c>
      <c r="L20" t="s">
        <v>3338</v>
      </c>
      <c r="M20" t="s">
        <v>3339</v>
      </c>
      <c r="N20" t="s">
        <v>109</v>
      </c>
      <c r="O20" t="s">
        <v>100</v>
      </c>
      <c r="P20" t="s">
        <v>100</v>
      </c>
      <c r="Q20" t="s">
        <v>101</v>
      </c>
      <c r="R20" t="s">
        <v>1140</v>
      </c>
      <c r="S20" t="s">
        <v>1141</v>
      </c>
      <c r="T20" t="s">
        <v>3259</v>
      </c>
      <c r="U20" t="s">
        <v>3260</v>
      </c>
      <c r="V20" t="s">
        <v>3261</v>
      </c>
      <c r="W20" t="s">
        <v>3252</v>
      </c>
      <c r="X20" t="s">
        <v>3262</v>
      </c>
      <c r="Y20" t="s">
        <v>3263</v>
      </c>
      <c r="Z20" t="s">
        <v>3264</v>
      </c>
      <c r="AA20" t="s">
        <v>3265</v>
      </c>
      <c r="AB20" t="s">
        <v>3261</v>
      </c>
      <c r="AC20" t="s">
        <v>62</v>
      </c>
      <c r="AD20" t="s">
        <v>62</v>
      </c>
      <c r="AE20" t="s">
        <v>62</v>
      </c>
      <c r="AF20" t="s">
        <v>3313</v>
      </c>
      <c r="AG20" t="s">
        <v>3340</v>
      </c>
      <c r="AH20" t="s">
        <v>3313</v>
      </c>
      <c r="AI20" t="s">
        <v>3340</v>
      </c>
      <c r="AJ20" t="s">
        <v>3313</v>
      </c>
      <c r="AK20" t="s">
        <v>3340</v>
      </c>
      <c r="AL20" t="s">
        <v>3257</v>
      </c>
    </row>
    <row r="21" spans="1:38" ht="11.25" customHeight="1">
      <c r="A21" t="s">
        <v>22</v>
      </c>
      <c r="B21" t="s">
        <v>48</v>
      </c>
      <c r="C21" t="s">
        <v>50</v>
      </c>
      <c r="D21" t="s">
        <v>22</v>
      </c>
      <c r="E21" t="s">
        <v>3341</v>
      </c>
      <c r="F21" t="s">
        <v>1170</v>
      </c>
      <c r="G21" t="s">
        <v>100</v>
      </c>
      <c r="H21" t="s">
        <v>100</v>
      </c>
      <c r="I21" t="s">
        <v>101</v>
      </c>
      <c r="J21" t="s">
        <v>1140</v>
      </c>
      <c r="K21" t="s">
        <v>1141</v>
      </c>
      <c r="L21" t="s">
        <v>3342</v>
      </c>
      <c r="M21" t="s">
        <v>3343</v>
      </c>
      <c r="N21" t="s">
        <v>109</v>
      </c>
      <c r="O21" t="s">
        <v>100</v>
      </c>
      <c r="P21" t="s">
        <v>100</v>
      </c>
      <c r="Q21" t="s">
        <v>101</v>
      </c>
      <c r="R21" t="s">
        <v>1140</v>
      </c>
      <c r="S21" t="s">
        <v>1141</v>
      </c>
      <c r="T21" t="s">
        <v>3250</v>
      </c>
      <c r="U21" t="s">
        <v>3260</v>
      </c>
      <c r="V21" t="s">
        <v>3279</v>
      </c>
      <c r="W21" t="s">
        <v>3252</v>
      </c>
      <c r="X21" t="s">
        <v>3262</v>
      </c>
      <c r="Y21" t="s">
        <v>3263</v>
      </c>
      <c r="Z21" t="s">
        <v>3280</v>
      </c>
      <c r="AA21" t="s">
        <v>3281</v>
      </c>
      <c r="AB21" t="s">
        <v>3279</v>
      </c>
      <c r="AC21" t="s">
        <v>62</v>
      </c>
      <c r="AD21" t="s">
        <v>19</v>
      </c>
      <c r="AE21" t="s">
        <v>19</v>
      </c>
      <c r="AF21" t="s">
        <v>3344</v>
      </c>
      <c r="AG21" t="s">
        <v>3345</v>
      </c>
      <c r="AH21" t="s">
        <v>22</v>
      </c>
      <c r="AI21" t="s">
        <v>22</v>
      </c>
      <c r="AJ21" t="s">
        <v>22</v>
      </c>
      <c r="AK21" t="s">
        <v>22</v>
      </c>
      <c r="AL21" t="s">
        <v>3257</v>
      </c>
    </row>
    <row r="22" spans="1:38" ht="11.25" customHeight="1">
      <c r="A22" t="s">
        <v>22</v>
      </c>
      <c r="B22" t="s">
        <v>48</v>
      </c>
      <c r="C22" t="s">
        <v>50</v>
      </c>
      <c r="D22" t="s">
        <v>22</v>
      </c>
      <c r="E22" t="s">
        <v>3346</v>
      </c>
      <c r="F22" t="s">
        <v>1139</v>
      </c>
      <c r="G22" t="s">
        <v>100</v>
      </c>
      <c r="H22" t="s">
        <v>100</v>
      </c>
      <c r="I22" t="s">
        <v>101</v>
      </c>
      <c r="J22" t="s">
        <v>1140</v>
      </c>
      <c r="K22" t="s">
        <v>1141</v>
      </c>
      <c r="L22" t="s">
        <v>3347</v>
      </c>
      <c r="M22" t="s">
        <v>91</v>
      </c>
      <c r="N22" t="s">
        <v>109</v>
      </c>
      <c r="O22" t="s">
        <v>100</v>
      </c>
      <c r="P22" t="s">
        <v>100</v>
      </c>
      <c r="Q22" t="s">
        <v>101</v>
      </c>
      <c r="R22" t="s">
        <v>1140</v>
      </c>
      <c r="S22" t="s">
        <v>1141</v>
      </c>
      <c r="T22" t="s">
        <v>3250</v>
      </c>
      <c r="U22" t="s">
        <v>3260</v>
      </c>
      <c r="V22" t="s">
        <v>3279</v>
      </c>
      <c r="W22" t="s">
        <v>3252</v>
      </c>
      <c r="X22" t="s">
        <v>3262</v>
      </c>
      <c r="Y22" t="s">
        <v>3263</v>
      </c>
      <c r="Z22" t="s">
        <v>3280</v>
      </c>
      <c r="AA22" t="s">
        <v>3281</v>
      </c>
      <c r="AB22" t="s">
        <v>3279</v>
      </c>
      <c r="AC22" t="s">
        <v>62</v>
      </c>
      <c r="AD22" t="s">
        <v>62</v>
      </c>
      <c r="AE22" t="s">
        <v>62</v>
      </c>
      <c r="AF22" t="s">
        <v>986</v>
      </c>
      <c r="AG22" t="s">
        <v>3348</v>
      </c>
      <c r="AH22" t="s">
        <v>986</v>
      </c>
      <c r="AI22" t="s">
        <v>3348</v>
      </c>
      <c r="AJ22" t="s">
        <v>986</v>
      </c>
      <c r="AK22" t="s">
        <v>3348</v>
      </c>
      <c r="AL22" t="s">
        <v>3257</v>
      </c>
    </row>
    <row r="23" spans="1:38" ht="11.25" customHeight="1">
      <c r="A23" t="s">
        <v>22</v>
      </c>
      <c r="B23" t="s">
        <v>48</v>
      </c>
      <c r="C23" t="s">
        <v>50</v>
      </c>
      <c r="D23" t="s">
        <v>22</v>
      </c>
      <c r="E23" t="s">
        <v>3349</v>
      </c>
      <c r="F23" t="s">
        <v>1139</v>
      </c>
      <c r="G23" t="s">
        <v>100</v>
      </c>
      <c r="H23" t="s">
        <v>100</v>
      </c>
      <c r="I23" t="s">
        <v>101</v>
      </c>
      <c r="J23" t="s">
        <v>1140</v>
      </c>
      <c r="K23" t="s">
        <v>1141</v>
      </c>
      <c r="L23" t="s">
        <v>3350</v>
      </c>
      <c r="M23" t="s">
        <v>3351</v>
      </c>
      <c r="N23" t="s">
        <v>109</v>
      </c>
      <c r="O23" t="s">
        <v>100</v>
      </c>
      <c r="P23" t="s">
        <v>100</v>
      </c>
      <c r="Q23" t="s">
        <v>101</v>
      </c>
      <c r="R23" t="s">
        <v>1140</v>
      </c>
      <c r="S23" t="s">
        <v>1141</v>
      </c>
      <c r="T23" t="s">
        <v>3250</v>
      </c>
      <c r="U23" t="s">
        <v>3260</v>
      </c>
      <c r="V23" t="s">
        <v>3279</v>
      </c>
      <c r="W23" t="s">
        <v>3252</v>
      </c>
      <c r="X23" t="s">
        <v>3262</v>
      </c>
      <c r="Y23" t="s">
        <v>3263</v>
      </c>
      <c r="Z23" t="s">
        <v>3280</v>
      </c>
      <c r="AA23" t="s">
        <v>3281</v>
      </c>
      <c r="AB23" t="s">
        <v>3279</v>
      </c>
      <c r="AC23" t="s">
        <v>62</v>
      </c>
      <c r="AD23" t="s">
        <v>62</v>
      </c>
      <c r="AE23" t="s">
        <v>62</v>
      </c>
      <c r="AF23" t="s">
        <v>3313</v>
      </c>
      <c r="AG23" t="s">
        <v>3352</v>
      </c>
      <c r="AH23" t="s">
        <v>3313</v>
      </c>
      <c r="AI23" t="s">
        <v>3353</v>
      </c>
      <c r="AJ23" t="s">
        <v>3313</v>
      </c>
      <c r="AK23" t="s">
        <v>3353</v>
      </c>
      <c r="AL23" t="s">
        <v>3257</v>
      </c>
    </row>
    <row r="24" spans="1:38" ht="11.25" customHeight="1">
      <c r="A24" t="s">
        <v>22</v>
      </c>
      <c r="B24" t="s">
        <v>48</v>
      </c>
      <c r="C24" t="s">
        <v>50</v>
      </c>
      <c r="D24" t="s">
        <v>22</v>
      </c>
      <c r="E24" t="s">
        <v>3354</v>
      </c>
      <c r="F24" t="s">
        <v>1139</v>
      </c>
      <c r="G24" t="s">
        <v>100</v>
      </c>
      <c r="H24" t="s">
        <v>100</v>
      </c>
      <c r="I24" t="s">
        <v>101</v>
      </c>
      <c r="J24" t="s">
        <v>1140</v>
      </c>
      <c r="K24" t="s">
        <v>1141</v>
      </c>
      <c r="L24" t="s">
        <v>3334</v>
      </c>
      <c r="M24" t="s">
        <v>149</v>
      </c>
      <c r="N24" t="s">
        <v>109</v>
      </c>
      <c r="O24" t="s">
        <v>100</v>
      </c>
      <c r="P24" t="s">
        <v>100</v>
      </c>
      <c r="Q24" t="s">
        <v>101</v>
      </c>
      <c r="R24" t="s">
        <v>1140</v>
      </c>
      <c r="S24" t="s">
        <v>1141</v>
      </c>
      <c r="T24" t="s">
        <v>3250</v>
      </c>
      <c r="U24" t="s">
        <v>3260</v>
      </c>
      <c r="V24" t="s">
        <v>3279</v>
      </c>
      <c r="W24" t="s">
        <v>3252</v>
      </c>
      <c r="X24" t="s">
        <v>3262</v>
      </c>
      <c r="Y24" t="s">
        <v>3263</v>
      </c>
      <c r="Z24" t="s">
        <v>3280</v>
      </c>
      <c r="AA24" t="s">
        <v>3281</v>
      </c>
      <c r="AB24" t="s">
        <v>3279</v>
      </c>
      <c r="AC24" t="s">
        <v>62</v>
      </c>
      <c r="AD24" t="s">
        <v>62</v>
      </c>
      <c r="AE24" t="s">
        <v>62</v>
      </c>
      <c r="AF24" t="s">
        <v>3355</v>
      </c>
      <c r="AG24" t="s">
        <v>3356</v>
      </c>
      <c r="AH24" t="s">
        <v>3355</v>
      </c>
      <c r="AI24" t="s">
        <v>3357</v>
      </c>
      <c r="AJ24" t="s">
        <v>3355</v>
      </c>
      <c r="AK24" t="s">
        <v>3357</v>
      </c>
      <c r="AL24" t="s">
        <v>3257</v>
      </c>
    </row>
    <row r="25" spans="1:38" ht="11.25" customHeight="1">
      <c r="A25" t="s">
        <v>22</v>
      </c>
      <c r="B25" t="s">
        <v>48</v>
      </c>
      <c r="C25" t="s">
        <v>50</v>
      </c>
      <c r="D25" t="s">
        <v>22</v>
      </c>
      <c r="E25" t="s">
        <v>3358</v>
      </c>
      <c r="F25" t="s">
        <v>1139</v>
      </c>
      <c r="G25" t="s">
        <v>100</v>
      </c>
      <c r="H25" t="s">
        <v>100</v>
      </c>
      <c r="I25" t="s">
        <v>101</v>
      </c>
      <c r="J25" t="s">
        <v>1140</v>
      </c>
      <c r="K25" t="s">
        <v>1141</v>
      </c>
      <c r="L25" t="s">
        <v>3359</v>
      </c>
      <c r="M25" t="s">
        <v>1743</v>
      </c>
      <c r="N25" t="s">
        <v>109</v>
      </c>
      <c r="O25" t="s">
        <v>100</v>
      </c>
      <c r="P25" t="s">
        <v>100</v>
      </c>
      <c r="Q25" t="s">
        <v>101</v>
      </c>
      <c r="R25" t="s">
        <v>1140</v>
      </c>
      <c r="S25" t="s">
        <v>1141</v>
      </c>
      <c r="T25" t="s">
        <v>3259</v>
      </c>
      <c r="U25" t="s">
        <v>3260</v>
      </c>
      <c r="V25" t="s">
        <v>3261</v>
      </c>
      <c r="W25" t="s">
        <v>3252</v>
      </c>
      <c r="X25" t="s">
        <v>3262</v>
      </c>
      <c r="Y25" t="s">
        <v>3263</v>
      </c>
      <c r="Z25" t="s">
        <v>3264</v>
      </c>
      <c r="AA25" t="s">
        <v>3265</v>
      </c>
      <c r="AB25" t="s">
        <v>3261</v>
      </c>
      <c r="AC25" t="s">
        <v>62</v>
      </c>
      <c r="AD25" t="s">
        <v>62</v>
      </c>
      <c r="AE25" t="s">
        <v>62</v>
      </c>
      <c r="AF25" t="s">
        <v>3266</v>
      </c>
      <c r="AG25" t="s">
        <v>3360</v>
      </c>
      <c r="AH25" t="s">
        <v>3266</v>
      </c>
      <c r="AI25" t="s">
        <v>3360</v>
      </c>
      <c r="AJ25" t="s">
        <v>3266</v>
      </c>
      <c r="AK25" t="s">
        <v>3360</v>
      </c>
      <c r="AL25" t="s">
        <v>3257</v>
      </c>
    </row>
    <row r="26" spans="1:38" ht="11.25" customHeight="1">
      <c r="A26" t="s">
        <v>22</v>
      </c>
      <c r="B26" t="s">
        <v>48</v>
      </c>
      <c r="C26" t="s">
        <v>50</v>
      </c>
      <c r="D26" t="s">
        <v>22</v>
      </c>
      <c r="E26" t="s">
        <v>3361</v>
      </c>
      <c r="F26" t="s">
        <v>1139</v>
      </c>
      <c r="G26" t="s">
        <v>100</v>
      </c>
      <c r="H26" t="s">
        <v>100</v>
      </c>
      <c r="I26" t="s">
        <v>101</v>
      </c>
      <c r="J26" t="s">
        <v>1140</v>
      </c>
      <c r="K26" t="s">
        <v>1141</v>
      </c>
      <c r="L26" t="s">
        <v>3359</v>
      </c>
      <c r="M26" t="s">
        <v>3362</v>
      </c>
      <c r="N26" t="s">
        <v>109</v>
      </c>
      <c r="O26" t="s">
        <v>100</v>
      </c>
      <c r="P26" t="s">
        <v>100</v>
      </c>
      <c r="Q26" t="s">
        <v>101</v>
      </c>
      <c r="R26" t="s">
        <v>1140</v>
      </c>
      <c r="S26" t="s">
        <v>1141</v>
      </c>
      <c r="T26" t="s">
        <v>3259</v>
      </c>
      <c r="U26" t="s">
        <v>3260</v>
      </c>
      <c r="V26" t="s">
        <v>3261</v>
      </c>
      <c r="W26" t="s">
        <v>3252</v>
      </c>
      <c r="X26" t="s">
        <v>3262</v>
      </c>
      <c r="Y26" t="s">
        <v>3263</v>
      </c>
      <c r="Z26" t="s">
        <v>3264</v>
      </c>
      <c r="AA26" t="s">
        <v>3265</v>
      </c>
      <c r="AB26" t="s">
        <v>3261</v>
      </c>
      <c r="AC26" t="s">
        <v>62</v>
      </c>
      <c r="AD26" t="s">
        <v>62</v>
      </c>
      <c r="AE26" t="s">
        <v>62</v>
      </c>
      <c r="AF26" t="s">
        <v>3296</v>
      </c>
      <c r="AG26" t="s">
        <v>3363</v>
      </c>
      <c r="AH26" t="s">
        <v>3296</v>
      </c>
      <c r="AI26" t="s">
        <v>3363</v>
      </c>
      <c r="AJ26" t="s">
        <v>3296</v>
      </c>
      <c r="AK26" t="s">
        <v>3363</v>
      </c>
      <c r="AL26" t="s">
        <v>3257</v>
      </c>
    </row>
    <row r="27" spans="1:38" ht="11.25" customHeight="1">
      <c r="A27" t="s">
        <v>22</v>
      </c>
      <c r="B27" t="s">
        <v>48</v>
      </c>
      <c r="C27" t="s">
        <v>50</v>
      </c>
      <c r="D27" t="s">
        <v>22</v>
      </c>
      <c r="E27" t="s">
        <v>3364</v>
      </c>
      <c r="F27" t="s">
        <v>1170</v>
      </c>
      <c r="G27" t="s">
        <v>100</v>
      </c>
      <c r="H27" t="s">
        <v>100</v>
      </c>
      <c r="I27" t="s">
        <v>101</v>
      </c>
      <c r="J27" t="s">
        <v>1140</v>
      </c>
      <c r="K27" t="s">
        <v>1141</v>
      </c>
      <c r="L27" t="s">
        <v>3365</v>
      </c>
      <c r="M27" t="s">
        <v>1752</v>
      </c>
      <c r="N27" t="s">
        <v>109</v>
      </c>
      <c r="O27" t="s">
        <v>100</v>
      </c>
      <c r="P27" t="s">
        <v>100</v>
      </c>
      <c r="Q27" t="s">
        <v>101</v>
      </c>
      <c r="R27" t="s">
        <v>1140</v>
      </c>
      <c r="S27" t="s">
        <v>1141</v>
      </c>
      <c r="T27" t="s">
        <v>3259</v>
      </c>
      <c r="U27" t="s">
        <v>3260</v>
      </c>
      <c r="V27" t="s">
        <v>3261</v>
      </c>
      <c r="W27" t="s">
        <v>3252</v>
      </c>
      <c r="X27" t="s">
        <v>3262</v>
      </c>
      <c r="Y27" t="s">
        <v>3263</v>
      </c>
      <c r="Z27" t="s">
        <v>3264</v>
      </c>
      <c r="AA27" t="s">
        <v>3265</v>
      </c>
      <c r="AB27" t="s">
        <v>3261</v>
      </c>
      <c r="AC27" t="s">
        <v>62</v>
      </c>
      <c r="AD27" t="s">
        <v>19</v>
      </c>
      <c r="AE27" t="s">
        <v>19</v>
      </c>
      <c r="AF27" t="s">
        <v>3366</v>
      </c>
      <c r="AG27" t="s">
        <v>3367</v>
      </c>
      <c r="AH27" t="s">
        <v>22</v>
      </c>
      <c r="AI27" t="s">
        <v>22</v>
      </c>
      <c r="AJ27" t="s">
        <v>22</v>
      </c>
      <c r="AK27" t="s">
        <v>22</v>
      </c>
      <c r="AL27" t="s">
        <v>3257</v>
      </c>
    </row>
    <row r="28" spans="1:38" ht="11.25" customHeight="1">
      <c r="A28" t="s">
        <v>22</v>
      </c>
      <c r="B28" t="s">
        <v>48</v>
      </c>
      <c r="C28" t="s">
        <v>50</v>
      </c>
      <c r="D28" t="s">
        <v>22</v>
      </c>
      <c r="E28" t="s">
        <v>3368</v>
      </c>
      <c r="F28" t="s">
        <v>1170</v>
      </c>
      <c r="G28" t="s">
        <v>100</v>
      </c>
      <c r="H28" t="s">
        <v>100</v>
      </c>
      <c r="I28" t="s">
        <v>101</v>
      </c>
      <c r="J28" t="s">
        <v>1140</v>
      </c>
      <c r="K28" t="s">
        <v>1141</v>
      </c>
      <c r="L28" t="s">
        <v>3365</v>
      </c>
      <c r="M28" t="s">
        <v>3369</v>
      </c>
      <c r="N28" t="s">
        <v>109</v>
      </c>
      <c r="O28" t="s">
        <v>100</v>
      </c>
      <c r="P28" t="s">
        <v>100</v>
      </c>
      <c r="Q28" t="s">
        <v>101</v>
      </c>
      <c r="R28" t="s">
        <v>1140</v>
      </c>
      <c r="S28" t="s">
        <v>1141</v>
      </c>
      <c r="T28" t="s">
        <v>3259</v>
      </c>
      <c r="U28" t="s">
        <v>3260</v>
      </c>
      <c r="V28" t="s">
        <v>3261</v>
      </c>
      <c r="W28" t="s">
        <v>3252</v>
      </c>
      <c r="X28" t="s">
        <v>3262</v>
      </c>
      <c r="Y28" t="s">
        <v>3263</v>
      </c>
      <c r="Z28" t="s">
        <v>3264</v>
      </c>
      <c r="AA28" t="s">
        <v>3265</v>
      </c>
      <c r="AB28" t="s">
        <v>3261</v>
      </c>
      <c r="AC28" t="s">
        <v>62</v>
      </c>
      <c r="AD28" t="s">
        <v>19</v>
      </c>
      <c r="AE28" t="s">
        <v>19</v>
      </c>
      <c r="AF28" t="s">
        <v>3366</v>
      </c>
      <c r="AG28" t="s">
        <v>3370</v>
      </c>
      <c r="AH28" t="s">
        <v>22</v>
      </c>
      <c r="AI28" t="s">
        <v>22</v>
      </c>
      <c r="AJ28" t="s">
        <v>22</v>
      </c>
      <c r="AK28" t="s">
        <v>22</v>
      </c>
      <c r="AL28" t="s">
        <v>3257</v>
      </c>
    </row>
    <row r="29" spans="1:38" ht="11.25" customHeight="1">
      <c r="A29" t="s">
        <v>22</v>
      </c>
      <c r="B29" t="s">
        <v>48</v>
      </c>
      <c r="C29" t="s">
        <v>50</v>
      </c>
      <c r="D29" t="s">
        <v>22</v>
      </c>
      <c r="E29" t="s">
        <v>3371</v>
      </c>
      <c r="F29" t="s">
        <v>1139</v>
      </c>
      <c r="G29" t="s">
        <v>100</v>
      </c>
      <c r="H29" t="s">
        <v>100</v>
      </c>
      <c r="I29" t="s">
        <v>101</v>
      </c>
      <c r="J29" t="s">
        <v>1140</v>
      </c>
      <c r="K29" t="s">
        <v>1141</v>
      </c>
      <c r="L29" t="s">
        <v>3372</v>
      </c>
      <c r="M29" t="s">
        <v>109</v>
      </c>
      <c r="N29" t="s">
        <v>109</v>
      </c>
      <c r="O29" t="s">
        <v>100</v>
      </c>
      <c r="P29" t="s">
        <v>100</v>
      </c>
      <c r="Q29" t="s">
        <v>101</v>
      </c>
      <c r="R29" t="s">
        <v>1140</v>
      </c>
      <c r="S29" t="s">
        <v>1141</v>
      </c>
      <c r="T29" t="s">
        <v>3259</v>
      </c>
      <c r="U29" t="s">
        <v>3260</v>
      </c>
      <c r="V29" t="s">
        <v>3261</v>
      </c>
      <c r="W29" t="s">
        <v>3252</v>
      </c>
      <c r="X29" t="s">
        <v>3262</v>
      </c>
      <c r="Y29" t="s">
        <v>3263</v>
      </c>
      <c r="Z29" t="s">
        <v>3264</v>
      </c>
      <c r="AA29" t="s">
        <v>3265</v>
      </c>
      <c r="AB29" t="s">
        <v>3261</v>
      </c>
      <c r="AC29" t="s">
        <v>62</v>
      </c>
      <c r="AD29" t="s">
        <v>62</v>
      </c>
      <c r="AE29" t="s">
        <v>62</v>
      </c>
      <c r="AF29" t="s">
        <v>3270</v>
      </c>
      <c r="AG29" t="s">
        <v>3373</v>
      </c>
      <c r="AH29" t="s">
        <v>3270</v>
      </c>
      <c r="AI29" t="s">
        <v>3373</v>
      </c>
      <c r="AJ29" t="s">
        <v>3270</v>
      </c>
      <c r="AK29" t="s">
        <v>3373</v>
      </c>
      <c r="AL29" t="s">
        <v>3257</v>
      </c>
    </row>
    <row r="30" spans="1:38" ht="11.25" customHeight="1">
      <c r="A30" t="s">
        <v>22</v>
      </c>
      <c r="B30" t="s">
        <v>48</v>
      </c>
      <c r="C30" t="s">
        <v>50</v>
      </c>
      <c r="D30" t="s">
        <v>22</v>
      </c>
      <c r="E30" t="s">
        <v>3374</v>
      </c>
      <c r="F30" t="s">
        <v>1139</v>
      </c>
      <c r="G30" t="s">
        <v>100</v>
      </c>
      <c r="H30" t="s">
        <v>100</v>
      </c>
      <c r="I30" t="s">
        <v>101</v>
      </c>
      <c r="J30" t="s">
        <v>1140</v>
      </c>
      <c r="K30" t="s">
        <v>1141</v>
      </c>
      <c r="L30" t="s">
        <v>3375</v>
      </c>
      <c r="M30" t="s">
        <v>3343</v>
      </c>
      <c r="N30" t="s">
        <v>109</v>
      </c>
      <c r="O30" t="s">
        <v>100</v>
      </c>
      <c r="P30" t="s">
        <v>100</v>
      </c>
      <c r="Q30" t="s">
        <v>101</v>
      </c>
      <c r="R30" t="s">
        <v>1140</v>
      </c>
      <c r="S30" t="s">
        <v>1141</v>
      </c>
      <c r="T30" t="s">
        <v>3259</v>
      </c>
      <c r="U30" t="s">
        <v>3260</v>
      </c>
      <c r="V30" t="s">
        <v>3261</v>
      </c>
      <c r="W30" t="s">
        <v>3252</v>
      </c>
      <c r="X30" t="s">
        <v>3262</v>
      </c>
      <c r="Y30" t="s">
        <v>3263</v>
      </c>
      <c r="Z30" t="s">
        <v>3264</v>
      </c>
      <c r="AA30" t="s">
        <v>3265</v>
      </c>
      <c r="AB30" t="s">
        <v>3261</v>
      </c>
      <c r="AC30" t="s">
        <v>62</v>
      </c>
      <c r="AD30" t="s">
        <v>62</v>
      </c>
      <c r="AE30" t="s">
        <v>62</v>
      </c>
      <c r="AF30" t="s">
        <v>3304</v>
      </c>
      <c r="AG30" t="s">
        <v>3376</v>
      </c>
      <c r="AH30" t="s">
        <v>3304</v>
      </c>
      <c r="AI30" t="s">
        <v>3376</v>
      </c>
      <c r="AJ30" t="s">
        <v>3304</v>
      </c>
      <c r="AK30" t="s">
        <v>3376</v>
      </c>
      <c r="AL30" t="s">
        <v>3257</v>
      </c>
    </row>
    <row r="31" spans="1:38" ht="11.25" customHeight="1">
      <c r="A31" t="s">
        <v>22</v>
      </c>
      <c r="B31" t="s">
        <v>48</v>
      </c>
      <c r="C31" t="s">
        <v>50</v>
      </c>
      <c r="D31" t="s">
        <v>22</v>
      </c>
      <c r="E31" t="s">
        <v>3377</v>
      </c>
      <c r="F31" t="s">
        <v>1139</v>
      </c>
      <c r="G31" t="s">
        <v>100</v>
      </c>
      <c r="H31" t="s">
        <v>100</v>
      </c>
      <c r="I31" t="s">
        <v>101</v>
      </c>
      <c r="J31" t="s">
        <v>1140</v>
      </c>
      <c r="K31" t="s">
        <v>1141</v>
      </c>
      <c r="L31" t="s">
        <v>3375</v>
      </c>
      <c r="M31" t="s">
        <v>3378</v>
      </c>
      <c r="N31" t="s">
        <v>109</v>
      </c>
      <c r="O31" t="s">
        <v>100</v>
      </c>
      <c r="P31" t="s">
        <v>100</v>
      </c>
      <c r="Q31" t="s">
        <v>101</v>
      </c>
      <c r="R31" t="s">
        <v>1140</v>
      </c>
      <c r="S31" t="s">
        <v>1141</v>
      </c>
      <c r="T31" t="s">
        <v>3250</v>
      </c>
      <c r="U31" t="s">
        <v>3260</v>
      </c>
      <c r="V31" t="s">
        <v>3279</v>
      </c>
      <c r="W31" t="s">
        <v>3252</v>
      </c>
      <c r="X31" t="s">
        <v>3262</v>
      </c>
      <c r="Y31" t="s">
        <v>3263</v>
      </c>
      <c r="Z31" t="s">
        <v>3280</v>
      </c>
      <c r="AA31" t="s">
        <v>3281</v>
      </c>
      <c r="AB31" t="s">
        <v>3279</v>
      </c>
      <c r="AC31" t="s">
        <v>62</v>
      </c>
      <c r="AD31" t="s">
        <v>62</v>
      </c>
      <c r="AE31" t="s">
        <v>62</v>
      </c>
      <c r="AF31" t="s">
        <v>3379</v>
      </c>
      <c r="AG31" t="s">
        <v>3380</v>
      </c>
      <c r="AH31" t="s">
        <v>3379</v>
      </c>
      <c r="AI31" t="s">
        <v>3380</v>
      </c>
      <c r="AJ31" t="s">
        <v>3379</v>
      </c>
      <c r="AK31" t="s">
        <v>3380</v>
      </c>
      <c r="AL31" t="s">
        <v>3257</v>
      </c>
    </row>
    <row r="32" spans="1:38" ht="11.25" customHeight="1">
      <c r="A32" t="s">
        <v>22</v>
      </c>
      <c r="B32" t="s">
        <v>48</v>
      </c>
      <c r="C32" t="s">
        <v>50</v>
      </c>
      <c r="D32" t="s">
        <v>22</v>
      </c>
      <c r="E32" t="s">
        <v>3381</v>
      </c>
      <c r="F32" t="s">
        <v>1139</v>
      </c>
      <c r="G32" t="s">
        <v>100</v>
      </c>
      <c r="H32" t="s">
        <v>100</v>
      </c>
      <c r="I32" t="s">
        <v>101</v>
      </c>
      <c r="J32" t="s">
        <v>1140</v>
      </c>
      <c r="K32" t="s">
        <v>1141</v>
      </c>
      <c r="L32" t="s">
        <v>3382</v>
      </c>
      <c r="M32" t="s">
        <v>3383</v>
      </c>
      <c r="N32" t="s">
        <v>109</v>
      </c>
      <c r="O32" t="s">
        <v>100</v>
      </c>
      <c r="P32" t="s">
        <v>100</v>
      </c>
      <c r="Q32" t="s">
        <v>101</v>
      </c>
      <c r="R32" t="s">
        <v>1140</v>
      </c>
      <c r="S32" t="s">
        <v>1141</v>
      </c>
      <c r="T32" t="s">
        <v>3250</v>
      </c>
      <c r="U32" t="s">
        <v>3260</v>
      </c>
      <c r="V32" t="s">
        <v>3279</v>
      </c>
      <c r="W32" t="s">
        <v>3252</v>
      </c>
      <c r="X32" t="s">
        <v>3262</v>
      </c>
      <c r="Y32" t="s">
        <v>3263</v>
      </c>
      <c r="Z32" t="s">
        <v>3280</v>
      </c>
      <c r="AA32" t="s">
        <v>3281</v>
      </c>
      <c r="AB32" t="s">
        <v>3279</v>
      </c>
      <c r="AC32" t="s">
        <v>62</v>
      </c>
      <c r="AD32" t="s">
        <v>62</v>
      </c>
      <c r="AE32" t="s">
        <v>62</v>
      </c>
      <c r="AF32" t="s">
        <v>3379</v>
      </c>
      <c r="AG32" t="s">
        <v>3384</v>
      </c>
      <c r="AH32" t="s">
        <v>3379</v>
      </c>
      <c r="AI32" t="s">
        <v>3384</v>
      </c>
      <c r="AJ32" t="s">
        <v>3379</v>
      </c>
      <c r="AK32" t="s">
        <v>3384</v>
      </c>
      <c r="AL32" t="s">
        <v>3257</v>
      </c>
    </row>
    <row r="33" spans="1:38" ht="11.25" customHeight="1">
      <c r="A33" t="s">
        <v>22</v>
      </c>
      <c r="B33" t="s">
        <v>48</v>
      </c>
      <c r="C33" t="s">
        <v>50</v>
      </c>
      <c r="D33" t="s">
        <v>22</v>
      </c>
      <c r="E33" t="s">
        <v>3385</v>
      </c>
      <c r="F33" t="s">
        <v>1139</v>
      </c>
      <c r="G33" t="s">
        <v>100</v>
      </c>
      <c r="H33" t="s">
        <v>100</v>
      </c>
      <c r="I33" t="s">
        <v>101</v>
      </c>
      <c r="J33" t="s">
        <v>1140</v>
      </c>
      <c r="K33" t="s">
        <v>1141</v>
      </c>
      <c r="L33" t="s">
        <v>3386</v>
      </c>
      <c r="M33" t="s">
        <v>1726</v>
      </c>
      <c r="N33" t="s">
        <v>109</v>
      </c>
      <c r="O33" t="s">
        <v>100</v>
      </c>
      <c r="P33" t="s">
        <v>100</v>
      </c>
      <c r="Q33" t="s">
        <v>101</v>
      </c>
      <c r="R33" t="s">
        <v>1140</v>
      </c>
      <c r="S33" t="s">
        <v>1141</v>
      </c>
      <c r="T33" t="s">
        <v>3250</v>
      </c>
      <c r="U33" t="s">
        <v>3260</v>
      </c>
      <c r="V33" t="s">
        <v>3387</v>
      </c>
      <c r="W33" t="s">
        <v>3252</v>
      </c>
      <c r="X33" t="s">
        <v>3262</v>
      </c>
      <c r="Y33" t="s">
        <v>3263</v>
      </c>
      <c r="Z33" t="s">
        <v>90</v>
      </c>
      <c r="AA33" t="s">
        <v>3388</v>
      </c>
      <c r="AB33" t="s">
        <v>3387</v>
      </c>
      <c r="AC33" t="s">
        <v>62</v>
      </c>
      <c r="AD33" t="s">
        <v>62</v>
      </c>
      <c r="AE33" t="s">
        <v>62</v>
      </c>
      <c r="AF33" t="s">
        <v>3389</v>
      </c>
      <c r="AG33" t="s">
        <v>3390</v>
      </c>
      <c r="AH33" t="s">
        <v>3391</v>
      </c>
      <c r="AI33" t="s">
        <v>3390</v>
      </c>
      <c r="AJ33" t="s">
        <v>3391</v>
      </c>
      <c r="AK33" t="s">
        <v>3390</v>
      </c>
      <c r="AL33" t="s">
        <v>3257</v>
      </c>
    </row>
    <row r="34" spans="1:38" ht="11.25" customHeight="1">
      <c r="A34" t="s">
        <v>22</v>
      </c>
      <c r="B34" t="s">
        <v>48</v>
      </c>
      <c r="C34" t="s">
        <v>50</v>
      </c>
      <c r="D34" t="s">
        <v>22</v>
      </c>
      <c r="E34" t="s">
        <v>3392</v>
      </c>
      <c r="F34" t="s">
        <v>1139</v>
      </c>
      <c r="G34" t="s">
        <v>100</v>
      </c>
      <c r="H34" t="s">
        <v>100</v>
      </c>
      <c r="I34" t="s">
        <v>101</v>
      </c>
      <c r="J34" t="s">
        <v>1140</v>
      </c>
      <c r="K34" t="s">
        <v>1141</v>
      </c>
      <c r="L34" t="s">
        <v>3393</v>
      </c>
      <c r="M34" t="s">
        <v>1738</v>
      </c>
      <c r="N34" t="s">
        <v>109</v>
      </c>
      <c r="O34" t="s">
        <v>100</v>
      </c>
      <c r="P34" t="s">
        <v>100</v>
      </c>
      <c r="Q34" t="s">
        <v>101</v>
      </c>
      <c r="R34" t="s">
        <v>1140</v>
      </c>
      <c r="S34" t="s">
        <v>1141</v>
      </c>
      <c r="T34" t="s">
        <v>3250</v>
      </c>
      <c r="U34" t="s">
        <v>3260</v>
      </c>
      <c r="V34" t="s">
        <v>3279</v>
      </c>
      <c r="W34" t="s">
        <v>3252</v>
      </c>
      <c r="X34" t="s">
        <v>3262</v>
      </c>
      <c r="Y34" t="s">
        <v>3263</v>
      </c>
      <c r="Z34" t="s">
        <v>3280</v>
      </c>
      <c r="AA34" t="s">
        <v>3281</v>
      </c>
      <c r="AB34" t="s">
        <v>3279</v>
      </c>
      <c r="AC34" t="s">
        <v>62</v>
      </c>
      <c r="AD34" t="s">
        <v>62</v>
      </c>
      <c r="AE34" t="s">
        <v>62</v>
      </c>
      <c r="AF34" t="s">
        <v>3394</v>
      </c>
      <c r="AG34" t="s">
        <v>3395</v>
      </c>
      <c r="AH34" t="s">
        <v>3394</v>
      </c>
      <c r="AI34" t="s">
        <v>3395</v>
      </c>
      <c r="AJ34" t="s">
        <v>3394</v>
      </c>
      <c r="AK34" t="s">
        <v>3395</v>
      </c>
      <c r="AL34" t="s">
        <v>3257</v>
      </c>
    </row>
    <row r="35" spans="1:38" ht="11.25" customHeight="1">
      <c r="A35" t="s">
        <v>22</v>
      </c>
      <c r="B35" t="s">
        <v>48</v>
      </c>
      <c r="C35" t="s">
        <v>50</v>
      </c>
      <c r="D35" t="s">
        <v>22</v>
      </c>
      <c r="E35" t="s">
        <v>3396</v>
      </c>
      <c r="F35" t="s">
        <v>1139</v>
      </c>
      <c r="G35" t="s">
        <v>100</v>
      </c>
      <c r="H35" t="s">
        <v>100</v>
      </c>
      <c r="I35" t="s">
        <v>101</v>
      </c>
      <c r="J35" t="s">
        <v>1140</v>
      </c>
      <c r="K35" t="s">
        <v>1141</v>
      </c>
      <c r="L35" t="s">
        <v>3393</v>
      </c>
      <c r="M35" t="s">
        <v>1813</v>
      </c>
      <c r="N35" t="s">
        <v>109</v>
      </c>
      <c r="O35" t="s">
        <v>100</v>
      </c>
      <c r="P35" t="s">
        <v>100</v>
      </c>
      <c r="Q35" t="s">
        <v>101</v>
      </c>
      <c r="R35" t="s">
        <v>1140</v>
      </c>
      <c r="S35" t="s">
        <v>1141</v>
      </c>
      <c r="T35" t="s">
        <v>3259</v>
      </c>
      <c r="U35" t="s">
        <v>3260</v>
      </c>
      <c r="V35" t="s">
        <v>3261</v>
      </c>
      <c r="W35" t="s">
        <v>3252</v>
      </c>
      <c r="X35" t="s">
        <v>3262</v>
      </c>
      <c r="Y35" t="s">
        <v>3263</v>
      </c>
      <c r="Z35" t="s">
        <v>3264</v>
      </c>
      <c r="AA35" t="s">
        <v>3265</v>
      </c>
      <c r="AB35" t="s">
        <v>3261</v>
      </c>
      <c r="AC35" t="s">
        <v>62</v>
      </c>
      <c r="AD35" t="s">
        <v>62</v>
      </c>
      <c r="AE35" t="s">
        <v>62</v>
      </c>
      <c r="AF35" t="s">
        <v>3397</v>
      </c>
      <c r="AG35" t="s">
        <v>3398</v>
      </c>
      <c r="AH35" t="s">
        <v>3268</v>
      </c>
      <c r="AI35" t="s">
        <v>3398</v>
      </c>
      <c r="AJ35" t="s">
        <v>3268</v>
      </c>
      <c r="AK35" t="s">
        <v>3398</v>
      </c>
      <c r="AL35" t="s">
        <v>3257</v>
      </c>
    </row>
    <row r="36" spans="1:38" ht="11.25" customHeight="1">
      <c r="A36" t="s">
        <v>22</v>
      </c>
      <c r="B36" t="s">
        <v>48</v>
      </c>
      <c r="C36" t="s">
        <v>50</v>
      </c>
      <c r="D36" t="s">
        <v>22</v>
      </c>
      <c r="E36" t="s">
        <v>3399</v>
      </c>
      <c r="F36" t="s">
        <v>1139</v>
      </c>
      <c r="G36" t="s">
        <v>100</v>
      </c>
      <c r="H36" t="s">
        <v>100</v>
      </c>
      <c r="I36" t="s">
        <v>101</v>
      </c>
      <c r="J36" t="s">
        <v>1140</v>
      </c>
      <c r="K36" t="s">
        <v>1141</v>
      </c>
      <c r="L36" t="s">
        <v>3393</v>
      </c>
      <c r="M36" t="s">
        <v>1850</v>
      </c>
      <c r="N36" t="s">
        <v>109</v>
      </c>
      <c r="O36" t="s">
        <v>100</v>
      </c>
      <c r="P36" t="s">
        <v>100</v>
      </c>
      <c r="Q36" t="s">
        <v>101</v>
      </c>
      <c r="R36" t="s">
        <v>1140</v>
      </c>
      <c r="S36" t="s">
        <v>1141</v>
      </c>
      <c r="T36" t="s">
        <v>3259</v>
      </c>
      <c r="U36" t="s">
        <v>3260</v>
      </c>
      <c r="V36" t="s">
        <v>3261</v>
      </c>
      <c r="W36" t="s">
        <v>3252</v>
      </c>
      <c r="X36" t="s">
        <v>3262</v>
      </c>
      <c r="Y36" t="s">
        <v>3263</v>
      </c>
      <c r="Z36" t="s">
        <v>3264</v>
      </c>
      <c r="AA36" t="s">
        <v>3265</v>
      </c>
      <c r="AB36" t="s">
        <v>3261</v>
      </c>
      <c r="AC36" t="s">
        <v>62</v>
      </c>
      <c r="AD36" t="s">
        <v>62</v>
      </c>
      <c r="AE36" t="s">
        <v>62</v>
      </c>
      <c r="AF36" t="s">
        <v>3397</v>
      </c>
      <c r="AG36" t="s">
        <v>3270</v>
      </c>
      <c r="AH36" t="s">
        <v>3268</v>
      </c>
      <c r="AI36" t="s">
        <v>3270</v>
      </c>
      <c r="AJ36" t="s">
        <v>3268</v>
      </c>
      <c r="AK36" t="s">
        <v>3270</v>
      </c>
      <c r="AL36" t="s">
        <v>3257</v>
      </c>
    </row>
    <row r="37" spans="1:38" ht="11.25" customHeight="1">
      <c r="A37" t="s">
        <v>22</v>
      </c>
      <c r="B37" t="s">
        <v>48</v>
      </c>
      <c r="C37" t="s">
        <v>50</v>
      </c>
      <c r="D37" t="s">
        <v>22</v>
      </c>
      <c r="E37" t="s">
        <v>3400</v>
      </c>
      <c r="F37" t="s">
        <v>1139</v>
      </c>
      <c r="G37" t="s">
        <v>100</v>
      </c>
      <c r="H37" t="s">
        <v>100</v>
      </c>
      <c r="I37" t="s">
        <v>101</v>
      </c>
      <c r="J37" t="s">
        <v>1140</v>
      </c>
      <c r="K37" t="s">
        <v>1141</v>
      </c>
      <c r="L37" t="s">
        <v>3386</v>
      </c>
      <c r="M37" t="s">
        <v>3401</v>
      </c>
      <c r="N37" t="s">
        <v>109</v>
      </c>
      <c r="O37" t="s">
        <v>100</v>
      </c>
      <c r="P37" t="s">
        <v>100</v>
      </c>
      <c r="Q37" t="s">
        <v>101</v>
      </c>
      <c r="R37" t="s">
        <v>1140</v>
      </c>
      <c r="S37" t="s">
        <v>1141</v>
      </c>
      <c r="T37" t="s">
        <v>3250</v>
      </c>
      <c r="U37" t="s">
        <v>3260</v>
      </c>
      <c r="V37" t="s">
        <v>3402</v>
      </c>
      <c r="W37" t="s">
        <v>3252</v>
      </c>
      <c r="X37" t="s">
        <v>3262</v>
      </c>
      <c r="Y37" t="s">
        <v>3263</v>
      </c>
      <c r="Z37" t="s">
        <v>1743</v>
      </c>
      <c r="AA37" t="s">
        <v>3403</v>
      </c>
      <c r="AB37" t="s">
        <v>3402</v>
      </c>
      <c r="AC37" t="s">
        <v>62</v>
      </c>
      <c r="AD37" t="s">
        <v>62</v>
      </c>
      <c r="AE37" t="s">
        <v>62</v>
      </c>
      <c r="AF37" t="s">
        <v>3404</v>
      </c>
      <c r="AG37" t="s">
        <v>3405</v>
      </c>
      <c r="AH37" t="s">
        <v>3406</v>
      </c>
      <c r="AI37" t="s">
        <v>3405</v>
      </c>
      <c r="AJ37" t="s">
        <v>3406</v>
      </c>
      <c r="AK37" t="s">
        <v>3405</v>
      </c>
      <c r="AL37" t="s">
        <v>3257</v>
      </c>
    </row>
    <row r="38" spans="1:38" ht="11.25" customHeight="1">
      <c r="A38" t="s">
        <v>22</v>
      </c>
      <c r="B38" t="s">
        <v>48</v>
      </c>
      <c r="C38" t="s">
        <v>50</v>
      </c>
      <c r="D38" t="s">
        <v>22</v>
      </c>
      <c r="E38" t="s">
        <v>3407</v>
      </c>
      <c r="F38" t="s">
        <v>1139</v>
      </c>
      <c r="G38" t="s">
        <v>100</v>
      </c>
      <c r="H38" t="s">
        <v>100</v>
      </c>
      <c r="I38" t="s">
        <v>101</v>
      </c>
      <c r="J38" t="s">
        <v>1140</v>
      </c>
      <c r="K38" t="s">
        <v>1141</v>
      </c>
      <c r="L38" t="s">
        <v>3386</v>
      </c>
      <c r="M38" t="s">
        <v>3408</v>
      </c>
      <c r="N38" t="s">
        <v>109</v>
      </c>
      <c r="O38" t="s">
        <v>100</v>
      </c>
      <c r="P38" t="s">
        <v>100</v>
      </c>
      <c r="Q38" t="s">
        <v>101</v>
      </c>
      <c r="R38" t="s">
        <v>1140</v>
      </c>
      <c r="S38" t="s">
        <v>1141</v>
      </c>
      <c r="T38" t="s">
        <v>3250</v>
      </c>
      <c r="U38" t="s">
        <v>3260</v>
      </c>
      <c r="V38" t="s">
        <v>3279</v>
      </c>
      <c r="W38" t="s">
        <v>3252</v>
      </c>
      <c r="X38" t="s">
        <v>3262</v>
      </c>
      <c r="Y38" t="s">
        <v>3263</v>
      </c>
      <c r="Z38" t="s">
        <v>3280</v>
      </c>
      <c r="AA38" t="s">
        <v>3281</v>
      </c>
      <c r="AB38" t="s">
        <v>3279</v>
      </c>
      <c r="AC38" t="s">
        <v>62</v>
      </c>
      <c r="AD38" t="s">
        <v>62</v>
      </c>
      <c r="AE38" t="s">
        <v>62</v>
      </c>
      <c r="AF38" t="s">
        <v>3409</v>
      </c>
      <c r="AG38" t="s">
        <v>3410</v>
      </c>
      <c r="AH38" t="s">
        <v>3409</v>
      </c>
      <c r="AI38" t="s">
        <v>3410</v>
      </c>
      <c r="AJ38" t="s">
        <v>3409</v>
      </c>
      <c r="AK38" t="s">
        <v>3410</v>
      </c>
      <c r="AL38" t="s">
        <v>3257</v>
      </c>
    </row>
    <row r="39" spans="1:38" ht="11.25" customHeight="1">
      <c r="A39" t="s">
        <v>22</v>
      </c>
      <c r="B39" t="s">
        <v>48</v>
      </c>
      <c r="C39" t="s">
        <v>50</v>
      </c>
      <c r="D39" t="s">
        <v>22</v>
      </c>
      <c r="E39" t="s">
        <v>3411</v>
      </c>
      <c r="F39" t="s">
        <v>1139</v>
      </c>
      <c r="G39" t="s">
        <v>100</v>
      </c>
      <c r="H39" t="s">
        <v>100</v>
      </c>
      <c r="I39" t="s">
        <v>101</v>
      </c>
      <c r="J39" t="s">
        <v>1140</v>
      </c>
      <c r="K39" t="s">
        <v>1141</v>
      </c>
      <c r="L39" t="s">
        <v>3412</v>
      </c>
      <c r="M39" t="s">
        <v>3413</v>
      </c>
      <c r="N39" t="s">
        <v>109</v>
      </c>
      <c r="O39" t="s">
        <v>100</v>
      </c>
      <c r="P39" t="s">
        <v>100</v>
      </c>
      <c r="Q39" t="s">
        <v>101</v>
      </c>
      <c r="R39" t="s">
        <v>1140</v>
      </c>
      <c r="S39" t="s">
        <v>1141</v>
      </c>
      <c r="T39" t="s">
        <v>3250</v>
      </c>
      <c r="U39" t="s">
        <v>3260</v>
      </c>
      <c r="V39" t="s">
        <v>3279</v>
      </c>
      <c r="W39" t="s">
        <v>3252</v>
      </c>
      <c r="X39" t="s">
        <v>3262</v>
      </c>
      <c r="Y39" t="s">
        <v>3263</v>
      </c>
      <c r="Z39" t="s">
        <v>3280</v>
      </c>
      <c r="AA39" t="s">
        <v>3281</v>
      </c>
      <c r="AB39" t="s">
        <v>3279</v>
      </c>
      <c r="AC39" t="s">
        <v>62</v>
      </c>
      <c r="AD39" t="s">
        <v>62</v>
      </c>
      <c r="AE39" t="s">
        <v>62</v>
      </c>
      <c r="AF39" t="s">
        <v>3304</v>
      </c>
      <c r="AG39" t="s">
        <v>3414</v>
      </c>
      <c r="AH39" t="s">
        <v>3306</v>
      </c>
      <c r="AI39" t="s">
        <v>3414</v>
      </c>
      <c r="AJ39" t="s">
        <v>3306</v>
      </c>
      <c r="AK39" t="s">
        <v>3414</v>
      </c>
      <c r="AL39" t="s">
        <v>3257</v>
      </c>
    </row>
    <row r="40" spans="1:38" ht="11.25" customHeight="1">
      <c r="A40" t="s">
        <v>22</v>
      </c>
      <c r="B40" t="s">
        <v>48</v>
      </c>
      <c r="C40" t="s">
        <v>50</v>
      </c>
      <c r="D40" t="s">
        <v>22</v>
      </c>
      <c r="E40" t="s">
        <v>3415</v>
      </c>
      <c r="F40" t="s">
        <v>1139</v>
      </c>
      <c r="G40" t="s">
        <v>100</v>
      </c>
      <c r="H40" t="s">
        <v>100</v>
      </c>
      <c r="I40" t="s">
        <v>101</v>
      </c>
      <c r="J40" t="s">
        <v>1140</v>
      </c>
      <c r="K40" t="s">
        <v>1141</v>
      </c>
      <c r="L40" t="s">
        <v>3416</v>
      </c>
      <c r="M40" t="s">
        <v>3417</v>
      </c>
      <c r="N40" t="s">
        <v>109</v>
      </c>
      <c r="O40" t="s">
        <v>100</v>
      </c>
      <c r="P40" t="s">
        <v>100</v>
      </c>
      <c r="Q40" t="s">
        <v>101</v>
      </c>
      <c r="R40" t="s">
        <v>1140</v>
      </c>
      <c r="S40" t="s">
        <v>1141</v>
      </c>
      <c r="T40" t="s">
        <v>3259</v>
      </c>
      <c r="U40" t="s">
        <v>3260</v>
      </c>
      <c r="V40" t="s">
        <v>3261</v>
      </c>
      <c r="W40" t="s">
        <v>3252</v>
      </c>
      <c r="X40" t="s">
        <v>3262</v>
      </c>
      <c r="Y40" t="s">
        <v>3263</v>
      </c>
      <c r="Z40" t="s">
        <v>3264</v>
      </c>
      <c r="AA40" t="s">
        <v>3265</v>
      </c>
      <c r="AB40" t="s">
        <v>3261</v>
      </c>
      <c r="AC40" t="s">
        <v>62</v>
      </c>
      <c r="AD40" t="s">
        <v>62</v>
      </c>
      <c r="AE40" t="s">
        <v>62</v>
      </c>
      <c r="AF40" t="s">
        <v>3418</v>
      </c>
      <c r="AG40" t="s">
        <v>3419</v>
      </c>
      <c r="AH40" t="s">
        <v>3420</v>
      </c>
      <c r="AI40" t="s">
        <v>3419</v>
      </c>
      <c r="AJ40" t="s">
        <v>3420</v>
      </c>
      <c r="AK40" t="s">
        <v>3419</v>
      </c>
      <c r="AL40" t="s">
        <v>3257</v>
      </c>
    </row>
    <row r="41" spans="1:38" ht="11.25" customHeight="1">
      <c r="A41" t="s">
        <v>22</v>
      </c>
      <c r="B41" t="s">
        <v>48</v>
      </c>
      <c r="C41" t="s">
        <v>50</v>
      </c>
      <c r="D41" t="s">
        <v>22</v>
      </c>
      <c r="E41" t="s">
        <v>3421</v>
      </c>
      <c r="F41" t="s">
        <v>1139</v>
      </c>
      <c r="G41" t="s">
        <v>100</v>
      </c>
      <c r="H41" t="s">
        <v>100</v>
      </c>
      <c r="I41" t="s">
        <v>101</v>
      </c>
      <c r="J41" t="s">
        <v>1140</v>
      </c>
      <c r="K41" t="s">
        <v>1141</v>
      </c>
      <c r="L41" t="s">
        <v>3422</v>
      </c>
      <c r="M41" t="s">
        <v>3423</v>
      </c>
      <c r="N41" t="s">
        <v>109</v>
      </c>
      <c r="O41" t="s">
        <v>100</v>
      </c>
      <c r="P41" t="s">
        <v>100</v>
      </c>
      <c r="Q41" t="s">
        <v>101</v>
      </c>
      <c r="R41" t="s">
        <v>1140</v>
      </c>
      <c r="S41" t="s">
        <v>1141</v>
      </c>
      <c r="T41" t="s">
        <v>3259</v>
      </c>
      <c r="U41" t="s">
        <v>3260</v>
      </c>
      <c r="V41" t="s">
        <v>3261</v>
      </c>
      <c r="W41" t="s">
        <v>3252</v>
      </c>
      <c r="X41" t="s">
        <v>3262</v>
      </c>
      <c r="Y41" t="s">
        <v>3263</v>
      </c>
      <c r="Z41" t="s">
        <v>3264</v>
      </c>
      <c r="AA41" t="s">
        <v>3265</v>
      </c>
      <c r="AB41" t="s">
        <v>3261</v>
      </c>
      <c r="AC41" t="s">
        <v>62</v>
      </c>
      <c r="AD41" t="s">
        <v>62</v>
      </c>
      <c r="AE41" t="s">
        <v>62</v>
      </c>
      <c r="AF41" t="s">
        <v>3424</v>
      </c>
      <c r="AG41" t="s">
        <v>3425</v>
      </c>
      <c r="AH41" t="s">
        <v>3426</v>
      </c>
      <c r="AI41" t="s">
        <v>3425</v>
      </c>
      <c r="AJ41" t="s">
        <v>3426</v>
      </c>
      <c r="AK41" t="s">
        <v>3425</v>
      </c>
      <c r="AL41" t="s">
        <v>3257</v>
      </c>
    </row>
    <row r="42" spans="1:38" ht="11.25" customHeight="1">
      <c r="A42" t="s">
        <v>22</v>
      </c>
      <c r="B42" t="s">
        <v>48</v>
      </c>
      <c r="C42" t="s">
        <v>50</v>
      </c>
      <c r="D42" t="s">
        <v>22</v>
      </c>
      <c r="E42" t="s">
        <v>3427</v>
      </c>
      <c r="F42" t="s">
        <v>1139</v>
      </c>
      <c r="G42" t="s">
        <v>100</v>
      </c>
      <c r="H42" t="s">
        <v>100</v>
      </c>
      <c r="I42" t="s">
        <v>101</v>
      </c>
      <c r="J42" t="s">
        <v>1140</v>
      </c>
      <c r="K42" t="s">
        <v>1141</v>
      </c>
      <c r="L42" t="s">
        <v>3428</v>
      </c>
      <c r="M42" t="s">
        <v>110</v>
      </c>
      <c r="N42" t="s">
        <v>109</v>
      </c>
      <c r="O42" t="s">
        <v>100</v>
      </c>
      <c r="P42" t="s">
        <v>100</v>
      </c>
      <c r="Q42" t="s">
        <v>101</v>
      </c>
      <c r="R42" t="s">
        <v>1140</v>
      </c>
      <c r="S42" t="s">
        <v>1141</v>
      </c>
      <c r="T42" t="s">
        <v>3250</v>
      </c>
      <c r="U42" t="s">
        <v>3251</v>
      </c>
      <c r="V42" t="s">
        <v>578</v>
      </c>
      <c r="W42" t="s">
        <v>3252</v>
      </c>
      <c r="X42" t="s">
        <v>3253</v>
      </c>
      <c r="Y42" t="s">
        <v>3254</v>
      </c>
      <c r="Z42" t="s">
        <v>858</v>
      </c>
      <c r="AA42" t="s">
        <v>858</v>
      </c>
      <c r="AB42" t="s">
        <v>578</v>
      </c>
      <c r="AC42" t="s">
        <v>62</v>
      </c>
      <c r="AD42" t="s">
        <v>62</v>
      </c>
      <c r="AE42" t="s">
        <v>62</v>
      </c>
      <c r="AF42" t="s">
        <v>3429</v>
      </c>
      <c r="AG42" t="s">
        <v>3430</v>
      </c>
      <c r="AH42" t="s">
        <v>3429</v>
      </c>
      <c r="AI42" t="s">
        <v>3430</v>
      </c>
      <c r="AJ42" t="s">
        <v>3429</v>
      </c>
      <c r="AK42" t="s">
        <v>3430</v>
      </c>
      <c r="AL42" t="s">
        <v>3257</v>
      </c>
    </row>
    <row r="43" spans="1:38" ht="11.25" customHeight="1">
      <c r="A43" t="s">
        <v>22</v>
      </c>
      <c r="B43" t="s">
        <v>48</v>
      </c>
      <c r="C43" t="s">
        <v>50</v>
      </c>
      <c r="D43" t="s">
        <v>22</v>
      </c>
      <c r="E43" t="s">
        <v>3431</v>
      </c>
      <c r="F43" t="s">
        <v>1139</v>
      </c>
      <c r="G43" t="s">
        <v>100</v>
      </c>
      <c r="H43" t="s">
        <v>100</v>
      </c>
      <c r="I43" t="s">
        <v>101</v>
      </c>
      <c r="J43" t="s">
        <v>1140</v>
      </c>
      <c r="K43" t="s">
        <v>1141</v>
      </c>
      <c r="L43" t="s">
        <v>3428</v>
      </c>
      <c r="M43" t="s">
        <v>3432</v>
      </c>
      <c r="N43" t="s">
        <v>109</v>
      </c>
      <c r="O43" t="s">
        <v>100</v>
      </c>
      <c r="P43" t="s">
        <v>100</v>
      </c>
      <c r="Q43" t="s">
        <v>101</v>
      </c>
      <c r="R43" t="s">
        <v>1140</v>
      </c>
      <c r="S43" t="s">
        <v>1141</v>
      </c>
      <c r="T43" t="s">
        <v>3259</v>
      </c>
      <c r="U43" t="s">
        <v>3260</v>
      </c>
      <c r="V43" t="s">
        <v>3261</v>
      </c>
      <c r="W43" t="s">
        <v>3252</v>
      </c>
      <c r="X43" t="s">
        <v>3262</v>
      </c>
      <c r="Y43" t="s">
        <v>3263</v>
      </c>
      <c r="Z43" t="s">
        <v>3264</v>
      </c>
      <c r="AA43" t="s">
        <v>3265</v>
      </c>
      <c r="AB43" t="s">
        <v>3261</v>
      </c>
      <c r="AC43" t="s">
        <v>62</v>
      </c>
      <c r="AD43" t="s">
        <v>62</v>
      </c>
      <c r="AE43" t="s">
        <v>62</v>
      </c>
      <c r="AF43" t="s">
        <v>3397</v>
      </c>
      <c r="AG43" t="s">
        <v>3433</v>
      </c>
      <c r="AH43" t="s">
        <v>3268</v>
      </c>
      <c r="AI43" t="s">
        <v>3433</v>
      </c>
      <c r="AJ43" t="s">
        <v>3268</v>
      </c>
      <c r="AK43" t="s">
        <v>3433</v>
      </c>
      <c r="AL43" t="s">
        <v>3257</v>
      </c>
    </row>
    <row r="44" spans="1:38" ht="11.25" customHeight="1">
      <c r="A44" t="s">
        <v>22</v>
      </c>
      <c r="B44" t="s">
        <v>48</v>
      </c>
      <c r="C44" t="s">
        <v>50</v>
      </c>
      <c r="D44" t="s">
        <v>22</v>
      </c>
      <c r="E44" t="s">
        <v>3434</v>
      </c>
      <c r="F44" t="s">
        <v>1170</v>
      </c>
      <c r="G44" t="s">
        <v>100</v>
      </c>
      <c r="H44" t="s">
        <v>100</v>
      </c>
      <c r="I44" t="s">
        <v>101</v>
      </c>
      <c r="J44" t="s">
        <v>1140</v>
      </c>
      <c r="K44" t="s">
        <v>1141</v>
      </c>
      <c r="L44" t="s">
        <v>3435</v>
      </c>
      <c r="M44" t="s">
        <v>90</v>
      </c>
      <c r="N44" t="s">
        <v>109</v>
      </c>
      <c r="O44" t="s">
        <v>100</v>
      </c>
      <c r="P44" t="s">
        <v>100</v>
      </c>
      <c r="Q44" t="s">
        <v>101</v>
      </c>
      <c r="R44" t="s">
        <v>1140</v>
      </c>
      <c r="S44" t="s">
        <v>1141</v>
      </c>
      <c r="T44" t="s">
        <v>3259</v>
      </c>
      <c r="U44" t="s">
        <v>3260</v>
      </c>
      <c r="V44" t="s">
        <v>3261</v>
      </c>
      <c r="W44" t="s">
        <v>3252</v>
      </c>
      <c r="X44" t="s">
        <v>3262</v>
      </c>
      <c r="Y44" t="s">
        <v>3263</v>
      </c>
      <c r="Z44" t="s">
        <v>3264</v>
      </c>
      <c r="AA44" t="s">
        <v>3265</v>
      </c>
      <c r="AB44" t="s">
        <v>3261</v>
      </c>
      <c r="AC44" t="s">
        <v>62</v>
      </c>
      <c r="AD44" t="s">
        <v>19</v>
      </c>
      <c r="AE44" t="s">
        <v>19</v>
      </c>
      <c r="AF44" t="s">
        <v>3436</v>
      </c>
      <c r="AG44" t="s">
        <v>3329</v>
      </c>
      <c r="AH44" t="s">
        <v>22</v>
      </c>
      <c r="AI44" t="s">
        <v>22</v>
      </c>
      <c r="AJ44" t="s">
        <v>22</v>
      </c>
      <c r="AK44" t="s">
        <v>22</v>
      </c>
      <c r="AL44" t="s">
        <v>3257</v>
      </c>
    </row>
    <row r="45" spans="1:38" ht="11.25" customHeight="1">
      <c r="A45" t="s">
        <v>22</v>
      </c>
      <c r="B45" t="s">
        <v>48</v>
      </c>
      <c r="C45" t="s">
        <v>50</v>
      </c>
      <c r="D45" t="s">
        <v>22</v>
      </c>
      <c r="E45" t="s">
        <v>3437</v>
      </c>
      <c r="F45" t="s">
        <v>1139</v>
      </c>
      <c r="G45" t="s">
        <v>100</v>
      </c>
      <c r="H45" t="s">
        <v>100</v>
      </c>
      <c r="I45" t="s">
        <v>101</v>
      </c>
      <c r="J45" t="s">
        <v>1140</v>
      </c>
      <c r="K45" t="s">
        <v>1141</v>
      </c>
      <c r="L45" t="s">
        <v>3438</v>
      </c>
      <c r="M45" t="s">
        <v>3439</v>
      </c>
      <c r="N45" t="s">
        <v>109</v>
      </c>
      <c r="O45" t="s">
        <v>100</v>
      </c>
      <c r="P45" t="s">
        <v>100</v>
      </c>
      <c r="Q45" t="s">
        <v>101</v>
      </c>
      <c r="R45" t="s">
        <v>1140</v>
      </c>
      <c r="S45" t="s">
        <v>1141</v>
      </c>
      <c r="T45" t="s">
        <v>3250</v>
      </c>
      <c r="U45" t="s">
        <v>3260</v>
      </c>
      <c r="V45" t="s">
        <v>3279</v>
      </c>
      <c r="W45" t="s">
        <v>3252</v>
      </c>
      <c r="X45" t="s">
        <v>3262</v>
      </c>
      <c r="Y45" t="s">
        <v>3263</v>
      </c>
      <c r="Z45" t="s">
        <v>3280</v>
      </c>
      <c r="AA45" t="s">
        <v>3281</v>
      </c>
      <c r="AB45" t="s">
        <v>3279</v>
      </c>
      <c r="AC45" t="s">
        <v>62</v>
      </c>
      <c r="AD45" t="s">
        <v>62</v>
      </c>
      <c r="AE45" t="s">
        <v>62</v>
      </c>
      <c r="AF45" t="s">
        <v>3394</v>
      </c>
      <c r="AG45" t="s">
        <v>3440</v>
      </c>
      <c r="AH45" t="s">
        <v>3394</v>
      </c>
      <c r="AI45" t="s">
        <v>3440</v>
      </c>
      <c r="AJ45" t="s">
        <v>3394</v>
      </c>
      <c r="AK45" t="s">
        <v>3440</v>
      </c>
      <c r="AL45" t="s">
        <v>3257</v>
      </c>
    </row>
    <row r="46" spans="1:38" ht="11.25" customHeight="1">
      <c r="A46" t="s">
        <v>22</v>
      </c>
      <c r="B46" t="s">
        <v>48</v>
      </c>
      <c r="C46" t="s">
        <v>50</v>
      </c>
      <c r="D46" t="s">
        <v>22</v>
      </c>
      <c r="E46" t="s">
        <v>3441</v>
      </c>
      <c r="F46" t="s">
        <v>1139</v>
      </c>
      <c r="G46" t="s">
        <v>100</v>
      </c>
      <c r="H46" t="s">
        <v>100</v>
      </c>
      <c r="I46" t="s">
        <v>101</v>
      </c>
      <c r="J46" t="s">
        <v>1140</v>
      </c>
      <c r="K46" t="s">
        <v>1141</v>
      </c>
      <c r="L46" t="s">
        <v>3442</v>
      </c>
      <c r="M46" t="s">
        <v>858</v>
      </c>
      <c r="N46" t="s">
        <v>109</v>
      </c>
      <c r="O46" t="s">
        <v>100</v>
      </c>
      <c r="P46" t="s">
        <v>100</v>
      </c>
      <c r="Q46" t="s">
        <v>101</v>
      </c>
      <c r="R46" t="s">
        <v>1140</v>
      </c>
      <c r="S46" t="s">
        <v>1141</v>
      </c>
      <c r="T46" t="s">
        <v>3259</v>
      </c>
      <c r="U46" t="s">
        <v>3260</v>
      </c>
      <c r="V46" t="s">
        <v>3261</v>
      </c>
      <c r="W46" t="s">
        <v>3252</v>
      </c>
      <c r="X46" t="s">
        <v>3262</v>
      </c>
      <c r="Y46" t="s">
        <v>3263</v>
      </c>
      <c r="Z46" t="s">
        <v>3264</v>
      </c>
      <c r="AA46" t="s">
        <v>3265</v>
      </c>
      <c r="AB46" t="s">
        <v>3261</v>
      </c>
      <c r="AC46" t="s">
        <v>62</v>
      </c>
      <c r="AD46" t="s">
        <v>62</v>
      </c>
      <c r="AE46" t="s">
        <v>62</v>
      </c>
      <c r="AF46" t="s">
        <v>3443</v>
      </c>
      <c r="AG46" t="s">
        <v>3444</v>
      </c>
      <c r="AH46" t="s">
        <v>3443</v>
      </c>
      <c r="AI46" t="s">
        <v>3444</v>
      </c>
      <c r="AJ46" t="s">
        <v>3443</v>
      </c>
      <c r="AK46" t="s">
        <v>3444</v>
      </c>
      <c r="AL46" t="s">
        <v>3257</v>
      </c>
    </row>
    <row r="47" spans="1:38" ht="11.25" customHeight="1">
      <c r="A47" t="s">
        <v>22</v>
      </c>
      <c r="B47" t="s">
        <v>48</v>
      </c>
      <c r="C47" t="s">
        <v>50</v>
      </c>
      <c r="D47" t="s">
        <v>22</v>
      </c>
      <c r="E47" t="s">
        <v>3445</v>
      </c>
      <c r="F47" t="s">
        <v>1170</v>
      </c>
      <c r="G47" t="s">
        <v>100</v>
      </c>
      <c r="H47" t="s">
        <v>100</v>
      </c>
      <c r="I47" t="s">
        <v>101</v>
      </c>
      <c r="J47" t="s">
        <v>1140</v>
      </c>
      <c r="K47" t="s">
        <v>1141</v>
      </c>
      <c r="L47" t="s">
        <v>3446</v>
      </c>
      <c r="M47" t="s">
        <v>1708</v>
      </c>
      <c r="N47" t="s">
        <v>109</v>
      </c>
      <c r="O47" t="s">
        <v>100</v>
      </c>
      <c r="P47" t="s">
        <v>100</v>
      </c>
      <c r="Q47" t="s">
        <v>101</v>
      </c>
      <c r="R47" t="s">
        <v>1140</v>
      </c>
      <c r="S47" t="s">
        <v>1141</v>
      </c>
      <c r="T47" t="s">
        <v>3250</v>
      </c>
      <c r="U47" t="s">
        <v>3260</v>
      </c>
      <c r="V47" t="s">
        <v>3279</v>
      </c>
      <c r="W47" t="s">
        <v>3252</v>
      </c>
      <c r="X47" t="s">
        <v>3262</v>
      </c>
      <c r="Y47" t="s">
        <v>3263</v>
      </c>
      <c r="Z47" t="s">
        <v>3280</v>
      </c>
      <c r="AA47" t="s">
        <v>3281</v>
      </c>
      <c r="AB47" t="s">
        <v>3279</v>
      </c>
      <c r="AC47" t="s">
        <v>62</v>
      </c>
      <c r="AD47" t="s">
        <v>19</v>
      </c>
      <c r="AE47" t="s">
        <v>19</v>
      </c>
      <c r="AF47" t="s">
        <v>3447</v>
      </c>
      <c r="AG47" t="s">
        <v>3448</v>
      </c>
      <c r="AH47" t="s">
        <v>22</v>
      </c>
      <c r="AI47" t="s">
        <v>22</v>
      </c>
      <c r="AJ47" t="s">
        <v>22</v>
      </c>
      <c r="AK47" t="s">
        <v>22</v>
      </c>
      <c r="AL47" t="s">
        <v>3257</v>
      </c>
    </row>
    <row r="48" spans="1:38" ht="11.25" customHeight="1">
      <c r="A48" t="s">
        <v>22</v>
      </c>
      <c r="B48" t="s">
        <v>48</v>
      </c>
      <c r="C48" t="s">
        <v>50</v>
      </c>
      <c r="D48" t="s">
        <v>22</v>
      </c>
      <c r="E48" t="s">
        <v>3449</v>
      </c>
      <c r="F48" t="s">
        <v>1139</v>
      </c>
      <c r="G48" t="s">
        <v>100</v>
      </c>
      <c r="H48" t="s">
        <v>100</v>
      </c>
      <c r="I48" t="s">
        <v>101</v>
      </c>
      <c r="J48" t="s">
        <v>1140</v>
      </c>
      <c r="K48" t="s">
        <v>1141</v>
      </c>
      <c r="L48" t="s">
        <v>3450</v>
      </c>
      <c r="M48" t="s">
        <v>90</v>
      </c>
      <c r="N48" t="s">
        <v>109</v>
      </c>
      <c r="O48" t="s">
        <v>100</v>
      </c>
      <c r="P48" t="s">
        <v>100</v>
      </c>
      <c r="Q48" t="s">
        <v>101</v>
      </c>
      <c r="R48" t="s">
        <v>1140</v>
      </c>
      <c r="S48" t="s">
        <v>1141</v>
      </c>
      <c r="T48" t="s">
        <v>3250</v>
      </c>
      <c r="U48" t="s">
        <v>3260</v>
      </c>
      <c r="V48" t="s">
        <v>3279</v>
      </c>
      <c r="W48" t="s">
        <v>3252</v>
      </c>
      <c r="X48" t="s">
        <v>3262</v>
      </c>
      <c r="Y48" t="s">
        <v>3263</v>
      </c>
      <c r="Z48" t="s">
        <v>3280</v>
      </c>
      <c r="AA48" t="s">
        <v>3281</v>
      </c>
      <c r="AB48" t="s">
        <v>3279</v>
      </c>
      <c r="AC48" t="s">
        <v>62</v>
      </c>
      <c r="AD48" t="s">
        <v>62</v>
      </c>
      <c r="AE48" t="s">
        <v>62</v>
      </c>
      <c r="AF48" t="s">
        <v>3451</v>
      </c>
      <c r="AG48" t="s">
        <v>3452</v>
      </c>
      <c r="AH48" t="s">
        <v>3451</v>
      </c>
      <c r="AI48" t="s">
        <v>3453</v>
      </c>
      <c r="AJ48" t="s">
        <v>3451</v>
      </c>
      <c r="AK48" t="s">
        <v>3453</v>
      </c>
      <c r="AL48" t="s">
        <v>3257</v>
      </c>
    </row>
    <row r="49" spans="1:38" ht="11.25" customHeight="1">
      <c r="A49" t="s">
        <v>22</v>
      </c>
      <c r="B49" t="s">
        <v>48</v>
      </c>
      <c r="C49" t="s">
        <v>50</v>
      </c>
      <c r="D49" t="s">
        <v>22</v>
      </c>
      <c r="E49" t="s">
        <v>3454</v>
      </c>
      <c r="F49" t="s">
        <v>1139</v>
      </c>
      <c r="G49" t="s">
        <v>100</v>
      </c>
      <c r="H49" t="s">
        <v>100</v>
      </c>
      <c r="I49" t="s">
        <v>101</v>
      </c>
      <c r="J49" t="s">
        <v>1140</v>
      </c>
      <c r="K49" t="s">
        <v>1141</v>
      </c>
      <c r="L49" t="s">
        <v>3455</v>
      </c>
      <c r="M49" t="s">
        <v>1738</v>
      </c>
      <c r="N49" t="s">
        <v>109</v>
      </c>
      <c r="O49" t="s">
        <v>100</v>
      </c>
      <c r="P49" t="s">
        <v>100</v>
      </c>
      <c r="Q49" t="s">
        <v>101</v>
      </c>
      <c r="R49" t="s">
        <v>1140</v>
      </c>
      <c r="S49" t="s">
        <v>1141</v>
      </c>
      <c r="T49" t="s">
        <v>3259</v>
      </c>
      <c r="U49" t="s">
        <v>3260</v>
      </c>
      <c r="V49" t="s">
        <v>3261</v>
      </c>
      <c r="W49" t="s">
        <v>3252</v>
      </c>
      <c r="X49" t="s">
        <v>3262</v>
      </c>
      <c r="Y49" t="s">
        <v>3263</v>
      </c>
      <c r="Z49" t="s">
        <v>3264</v>
      </c>
      <c r="AA49" t="s">
        <v>3265</v>
      </c>
      <c r="AB49" t="s">
        <v>3261</v>
      </c>
      <c r="AC49" t="s">
        <v>62</v>
      </c>
      <c r="AD49" t="s">
        <v>62</v>
      </c>
      <c r="AE49" t="s">
        <v>62</v>
      </c>
      <c r="AF49" t="s">
        <v>3456</v>
      </c>
      <c r="AG49" t="s">
        <v>3457</v>
      </c>
      <c r="AH49" t="s">
        <v>3456</v>
      </c>
      <c r="AI49" t="s">
        <v>3457</v>
      </c>
      <c r="AJ49" t="s">
        <v>3456</v>
      </c>
      <c r="AK49" t="s">
        <v>3457</v>
      </c>
      <c r="AL49" t="s">
        <v>3257</v>
      </c>
    </row>
    <row r="50" spans="1:38" ht="11.25" customHeight="1">
      <c r="A50" t="s">
        <v>22</v>
      </c>
      <c r="B50" t="s">
        <v>48</v>
      </c>
      <c r="C50" t="s">
        <v>50</v>
      </c>
      <c r="D50" t="s">
        <v>22</v>
      </c>
      <c r="E50" t="s">
        <v>1161</v>
      </c>
      <c r="F50" t="s">
        <v>1139</v>
      </c>
      <c r="G50" t="s">
        <v>100</v>
      </c>
      <c r="H50" t="s">
        <v>100</v>
      </c>
      <c r="I50" t="s">
        <v>101</v>
      </c>
      <c r="J50" t="s">
        <v>1140</v>
      </c>
      <c r="K50" t="s">
        <v>1141</v>
      </c>
      <c r="L50" t="s">
        <v>1162</v>
      </c>
      <c r="M50" t="s">
        <v>111</v>
      </c>
      <c r="N50" t="s">
        <v>109</v>
      </c>
      <c r="O50" t="s">
        <v>100</v>
      </c>
      <c r="P50" t="s">
        <v>100</v>
      </c>
      <c r="Q50" t="s">
        <v>101</v>
      </c>
      <c r="R50" t="s">
        <v>1140</v>
      </c>
      <c r="S50" t="s">
        <v>1141</v>
      </c>
      <c r="T50" t="s">
        <v>3250</v>
      </c>
      <c r="U50" t="s">
        <v>3260</v>
      </c>
      <c r="V50" t="s">
        <v>3279</v>
      </c>
      <c r="W50" t="s">
        <v>3252</v>
      </c>
      <c r="X50" t="s">
        <v>3262</v>
      </c>
      <c r="Y50" t="s">
        <v>3263</v>
      </c>
      <c r="Z50" t="s">
        <v>3280</v>
      </c>
      <c r="AA50" t="s">
        <v>3281</v>
      </c>
      <c r="AB50" t="s">
        <v>3279</v>
      </c>
      <c r="AC50" t="s">
        <v>62</v>
      </c>
      <c r="AD50" t="s">
        <v>62</v>
      </c>
      <c r="AE50" t="s">
        <v>62</v>
      </c>
      <c r="AF50" t="s">
        <v>3451</v>
      </c>
      <c r="AG50" t="s">
        <v>3458</v>
      </c>
      <c r="AH50" t="s">
        <v>3451</v>
      </c>
      <c r="AI50" t="s">
        <v>3458</v>
      </c>
      <c r="AJ50" t="s">
        <v>3451</v>
      </c>
      <c r="AK50" t="s">
        <v>3458</v>
      </c>
      <c r="AL50" t="s">
        <v>3257</v>
      </c>
    </row>
    <row r="51" spans="1:38" ht="11.25" customHeight="1">
      <c r="A51" t="s">
        <v>22</v>
      </c>
      <c r="B51" t="s">
        <v>48</v>
      </c>
      <c r="C51" t="s">
        <v>50</v>
      </c>
      <c r="D51" t="s">
        <v>22</v>
      </c>
      <c r="E51" t="s">
        <v>3459</v>
      </c>
      <c r="F51" t="s">
        <v>1139</v>
      </c>
      <c r="G51" t="s">
        <v>100</v>
      </c>
      <c r="H51" t="s">
        <v>100</v>
      </c>
      <c r="I51" t="s">
        <v>101</v>
      </c>
      <c r="J51" t="s">
        <v>1140</v>
      </c>
      <c r="K51" t="s">
        <v>1141</v>
      </c>
      <c r="L51" t="s">
        <v>1149</v>
      </c>
      <c r="M51" t="s">
        <v>3460</v>
      </c>
      <c r="N51" t="s">
        <v>109</v>
      </c>
      <c r="O51" t="s">
        <v>100</v>
      </c>
      <c r="P51" t="s">
        <v>100</v>
      </c>
      <c r="Q51" t="s">
        <v>101</v>
      </c>
      <c r="R51" t="s">
        <v>1140</v>
      </c>
      <c r="S51" t="s">
        <v>1141</v>
      </c>
      <c r="T51" t="s">
        <v>3259</v>
      </c>
      <c r="U51" t="s">
        <v>3260</v>
      </c>
      <c r="V51" t="s">
        <v>3261</v>
      </c>
      <c r="W51" t="s">
        <v>3252</v>
      </c>
      <c r="X51" t="s">
        <v>3262</v>
      </c>
      <c r="Y51" t="s">
        <v>3263</v>
      </c>
      <c r="Z51" t="s">
        <v>3264</v>
      </c>
      <c r="AA51" t="s">
        <v>3265</v>
      </c>
      <c r="AB51" t="s">
        <v>3261</v>
      </c>
      <c r="AC51" t="s">
        <v>62</v>
      </c>
      <c r="AD51" t="s">
        <v>62</v>
      </c>
      <c r="AE51" t="s">
        <v>62</v>
      </c>
      <c r="AF51" t="s">
        <v>3418</v>
      </c>
      <c r="AG51" t="s">
        <v>3461</v>
      </c>
      <c r="AH51" t="s">
        <v>3313</v>
      </c>
      <c r="AI51" t="s">
        <v>3461</v>
      </c>
      <c r="AJ51" t="s">
        <v>3313</v>
      </c>
      <c r="AK51" t="s">
        <v>3461</v>
      </c>
      <c r="AL51" t="s">
        <v>3257</v>
      </c>
    </row>
    <row r="52" spans="1:38" ht="11.25" customHeight="1">
      <c r="A52" t="s">
        <v>22</v>
      </c>
      <c r="B52" t="s">
        <v>48</v>
      </c>
      <c r="C52" t="s">
        <v>50</v>
      </c>
      <c r="D52" t="s">
        <v>22</v>
      </c>
      <c r="E52" t="s">
        <v>1138</v>
      </c>
      <c r="F52" t="s">
        <v>1139</v>
      </c>
      <c r="G52" t="s">
        <v>100</v>
      </c>
      <c r="H52" t="s">
        <v>100</v>
      </c>
      <c r="I52" t="s">
        <v>101</v>
      </c>
      <c r="J52" t="s">
        <v>1140</v>
      </c>
      <c r="K52" t="s">
        <v>1141</v>
      </c>
      <c r="L52" t="s">
        <v>1142</v>
      </c>
      <c r="M52" t="s">
        <v>1143</v>
      </c>
      <c r="N52" t="s">
        <v>109</v>
      </c>
      <c r="O52" t="s">
        <v>100</v>
      </c>
      <c r="P52" t="s">
        <v>100</v>
      </c>
      <c r="Q52" t="s">
        <v>101</v>
      </c>
      <c r="R52" t="s">
        <v>1140</v>
      </c>
      <c r="S52" t="s">
        <v>1141</v>
      </c>
      <c r="T52" t="s">
        <v>3250</v>
      </c>
      <c r="U52" t="s">
        <v>3251</v>
      </c>
      <c r="V52" t="s">
        <v>578</v>
      </c>
      <c r="W52" t="s">
        <v>3252</v>
      </c>
      <c r="X52" t="s">
        <v>3253</v>
      </c>
      <c r="Y52" t="s">
        <v>3254</v>
      </c>
      <c r="Z52" t="s">
        <v>858</v>
      </c>
      <c r="AA52" t="s">
        <v>858</v>
      </c>
      <c r="AB52" t="s">
        <v>578</v>
      </c>
      <c r="AC52" t="s">
        <v>62</v>
      </c>
      <c r="AD52" t="s">
        <v>62</v>
      </c>
      <c r="AE52" t="s">
        <v>62</v>
      </c>
      <c r="AF52" t="s">
        <v>3462</v>
      </c>
      <c r="AG52" t="s">
        <v>3463</v>
      </c>
      <c r="AH52" t="s">
        <v>3462</v>
      </c>
      <c r="AI52" t="s">
        <v>3463</v>
      </c>
      <c r="AJ52" t="s">
        <v>3462</v>
      </c>
      <c r="AK52" t="s">
        <v>3463</v>
      </c>
      <c r="AL52" t="s">
        <v>3257</v>
      </c>
    </row>
    <row r="53" spans="1:38" ht="11.25" customHeight="1">
      <c r="A53" t="s">
        <v>22</v>
      </c>
      <c r="B53" t="s">
        <v>48</v>
      </c>
      <c r="C53" t="s">
        <v>50</v>
      </c>
      <c r="D53" t="s">
        <v>22</v>
      </c>
      <c r="E53" t="s">
        <v>3464</v>
      </c>
      <c r="F53" t="s">
        <v>1139</v>
      </c>
      <c r="G53" t="s">
        <v>100</v>
      </c>
      <c r="H53" t="s">
        <v>100</v>
      </c>
      <c r="I53" t="s">
        <v>101</v>
      </c>
      <c r="J53" t="s">
        <v>1140</v>
      </c>
      <c r="K53" t="s">
        <v>1141</v>
      </c>
      <c r="L53" t="s">
        <v>3465</v>
      </c>
      <c r="M53" t="s">
        <v>110</v>
      </c>
      <c r="N53" t="s">
        <v>109</v>
      </c>
      <c r="O53" t="s">
        <v>100</v>
      </c>
      <c r="P53" t="s">
        <v>100</v>
      </c>
      <c r="Q53" t="s">
        <v>101</v>
      </c>
      <c r="R53" t="s">
        <v>1140</v>
      </c>
      <c r="S53" t="s">
        <v>1141</v>
      </c>
      <c r="T53" t="s">
        <v>3259</v>
      </c>
      <c r="U53" t="s">
        <v>3260</v>
      </c>
      <c r="V53" t="s">
        <v>3261</v>
      </c>
      <c r="W53" t="s">
        <v>3252</v>
      </c>
      <c r="X53" t="s">
        <v>3262</v>
      </c>
      <c r="Y53" t="s">
        <v>3263</v>
      </c>
      <c r="Z53" t="s">
        <v>3264</v>
      </c>
      <c r="AA53" t="s">
        <v>3265</v>
      </c>
      <c r="AB53" t="s">
        <v>3261</v>
      </c>
      <c r="AC53" t="s">
        <v>62</v>
      </c>
      <c r="AD53" t="s">
        <v>62</v>
      </c>
      <c r="AE53" t="s">
        <v>62</v>
      </c>
      <c r="AF53" t="s">
        <v>3466</v>
      </c>
      <c r="AG53" t="s">
        <v>3467</v>
      </c>
      <c r="AH53" t="s">
        <v>3466</v>
      </c>
      <c r="AI53" t="s">
        <v>3467</v>
      </c>
      <c r="AJ53" t="s">
        <v>3466</v>
      </c>
      <c r="AK53" t="s">
        <v>3467</v>
      </c>
      <c r="AL53" t="s">
        <v>3257</v>
      </c>
    </row>
    <row r="54" spans="1:38" ht="11.25" customHeight="1">
      <c r="A54" t="s">
        <v>22</v>
      </c>
      <c r="B54" t="s">
        <v>48</v>
      </c>
      <c r="C54" t="s">
        <v>50</v>
      </c>
      <c r="D54" t="s">
        <v>22</v>
      </c>
      <c r="E54" t="s">
        <v>3468</v>
      </c>
      <c r="F54" t="s">
        <v>1139</v>
      </c>
      <c r="G54" t="s">
        <v>100</v>
      </c>
      <c r="H54" t="s">
        <v>100</v>
      </c>
      <c r="I54" t="s">
        <v>101</v>
      </c>
      <c r="J54" t="s">
        <v>1140</v>
      </c>
      <c r="K54" t="s">
        <v>1141</v>
      </c>
      <c r="L54" t="s">
        <v>3469</v>
      </c>
      <c r="M54" t="s">
        <v>1698</v>
      </c>
      <c r="N54" t="s">
        <v>109</v>
      </c>
      <c r="O54" t="s">
        <v>100</v>
      </c>
      <c r="P54" t="s">
        <v>100</v>
      </c>
      <c r="Q54" t="s">
        <v>101</v>
      </c>
      <c r="R54" t="s">
        <v>1140</v>
      </c>
      <c r="S54" t="s">
        <v>1141</v>
      </c>
      <c r="T54" t="s">
        <v>3259</v>
      </c>
      <c r="U54" t="s">
        <v>3260</v>
      </c>
      <c r="V54" t="s">
        <v>3261</v>
      </c>
      <c r="W54" t="s">
        <v>3252</v>
      </c>
      <c r="X54" t="s">
        <v>3262</v>
      </c>
      <c r="Y54" t="s">
        <v>3263</v>
      </c>
      <c r="Z54" t="s">
        <v>3264</v>
      </c>
      <c r="AA54" t="s">
        <v>3265</v>
      </c>
      <c r="AB54" t="s">
        <v>3261</v>
      </c>
      <c r="AC54" t="s">
        <v>62</v>
      </c>
      <c r="AD54" t="s">
        <v>62</v>
      </c>
      <c r="AE54" t="s">
        <v>62</v>
      </c>
      <c r="AF54" t="s">
        <v>3397</v>
      </c>
      <c r="AG54" t="s">
        <v>3470</v>
      </c>
      <c r="AH54" t="s">
        <v>3268</v>
      </c>
      <c r="AI54" t="s">
        <v>3470</v>
      </c>
      <c r="AJ54" t="s">
        <v>3268</v>
      </c>
      <c r="AK54" t="s">
        <v>3470</v>
      </c>
      <c r="AL54" t="s">
        <v>3257</v>
      </c>
    </row>
    <row r="55" spans="1:38" ht="11.25" customHeight="1">
      <c r="A55" t="s">
        <v>22</v>
      </c>
      <c r="B55" t="s">
        <v>48</v>
      </c>
      <c r="C55" t="s">
        <v>50</v>
      </c>
      <c r="D55" t="s">
        <v>22</v>
      </c>
      <c r="E55" t="s">
        <v>3471</v>
      </c>
      <c r="F55" t="s">
        <v>1139</v>
      </c>
      <c r="G55" t="s">
        <v>100</v>
      </c>
      <c r="H55" t="s">
        <v>100</v>
      </c>
      <c r="I55" t="s">
        <v>101</v>
      </c>
      <c r="J55" t="s">
        <v>1140</v>
      </c>
      <c r="K55" t="s">
        <v>1141</v>
      </c>
      <c r="L55" t="s">
        <v>3472</v>
      </c>
      <c r="M55" t="s">
        <v>150</v>
      </c>
      <c r="N55" t="s">
        <v>109</v>
      </c>
      <c r="O55" t="s">
        <v>100</v>
      </c>
      <c r="P55" t="s">
        <v>100</v>
      </c>
      <c r="Q55" t="s">
        <v>101</v>
      </c>
      <c r="R55" t="s">
        <v>1140</v>
      </c>
      <c r="S55" t="s">
        <v>1141</v>
      </c>
      <c r="T55" t="s">
        <v>3259</v>
      </c>
      <c r="U55" t="s">
        <v>3260</v>
      </c>
      <c r="V55" t="s">
        <v>3261</v>
      </c>
      <c r="W55" t="s">
        <v>3252</v>
      </c>
      <c r="X55" t="s">
        <v>3262</v>
      </c>
      <c r="Y55" t="s">
        <v>3263</v>
      </c>
      <c r="Z55" t="s">
        <v>3264</v>
      </c>
      <c r="AA55" t="s">
        <v>3265</v>
      </c>
      <c r="AB55" t="s">
        <v>3261</v>
      </c>
      <c r="AC55" t="s">
        <v>62</v>
      </c>
      <c r="AD55" t="s">
        <v>62</v>
      </c>
      <c r="AE55" t="s">
        <v>62</v>
      </c>
      <c r="AF55" t="s">
        <v>3473</v>
      </c>
      <c r="AG55" t="s">
        <v>3474</v>
      </c>
      <c r="AH55" t="s">
        <v>3473</v>
      </c>
      <c r="AI55" t="s">
        <v>3474</v>
      </c>
      <c r="AJ55" t="s">
        <v>3473</v>
      </c>
      <c r="AK55" t="s">
        <v>3474</v>
      </c>
      <c r="AL55" t="s">
        <v>3257</v>
      </c>
    </row>
    <row r="56" spans="1:38" ht="11.25" customHeight="1">
      <c r="A56" t="s">
        <v>22</v>
      </c>
      <c r="B56" t="s">
        <v>48</v>
      </c>
      <c r="C56" t="s">
        <v>50</v>
      </c>
      <c r="D56" t="s">
        <v>22</v>
      </c>
      <c r="E56" t="s">
        <v>3475</v>
      </c>
      <c r="F56" t="s">
        <v>1139</v>
      </c>
      <c r="G56" t="s">
        <v>100</v>
      </c>
      <c r="H56" t="s">
        <v>100</v>
      </c>
      <c r="I56" t="s">
        <v>101</v>
      </c>
      <c r="J56" t="s">
        <v>1140</v>
      </c>
      <c r="K56" t="s">
        <v>1141</v>
      </c>
      <c r="L56" t="s">
        <v>1166</v>
      </c>
      <c r="M56" t="s">
        <v>3476</v>
      </c>
      <c r="N56" t="s">
        <v>109</v>
      </c>
      <c r="O56" t="s">
        <v>100</v>
      </c>
      <c r="P56" t="s">
        <v>100</v>
      </c>
      <c r="Q56" t="s">
        <v>101</v>
      </c>
      <c r="R56" t="s">
        <v>1140</v>
      </c>
      <c r="S56" t="s">
        <v>1141</v>
      </c>
      <c r="T56" t="s">
        <v>3250</v>
      </c>
      <c r="U56" t="s">
        <v>3260</v>
      </c>
      <c r="V56" t="s">
        <v>3279</v>
      </c>
      <c r="W56" t="s">
        <v>3252</v>
      </c>
      <c r="X56" t="s">
        <v>3262</v>
      </c>
      <c r="Y56" t="s">
        <v>3263</v>
      </c>
      <c r="Z56" t="s">
        <v>3280</v>
      </c>
      <c r="AA56" t="s">
        <v>3281</v>
      </c>
      <c r="AB56" t="s">
        <v>3279</v>
      </c>
      <c r="AC56" t="s">
        <v>62</v>
      </c>
      <c r="AD56" t="s">
        <v>62</v>
      </c>
      <c r="AE56" t="s">
        <v>62</v>
      </c>
      <c r="AF56" t="s">
        <v>986</v>
      </c>
      <c r="AG56" t="s">
        <v>3477</v>
      </c>
      <c r="AH56" t="s">
        <v>986</v>
      </c>
      <c r="AI56" t="s">
        <v>3477</v>
      </c>
      <c r="AJ56" t="s">
        <v>986</v>
      </c>
      <c r="AK56" t="s">
        <v>3477</v>
      </c>
      <c r="AL56" t="s">
        <v>3257</v>
      </c>
    </row>
    <row r="57" spans="1:38" ht="11.25" customHeight="1">
      <c r="A57" t="s">
        <v>22</v>
      </c>
      <c r="B57" t="s">
        <v>48</v>
      </c>
      <c r="C57" t="s">
        <v>50</v>
      </c>
      <c r="D57" t="s">
        <v>22</v>
      </c>
      <c r="E57" t="s">
        <v>3478</v>
      </c>
      <c r="F57" t="s">
        <v>1139</v>
      </c>
      <c r="G57" t="s">
        <v>100</v>
      </c>
      <c r="H57" t="s">
        <v>100</v>
      </c>
      <c r="I57" t="s">
        <v>101</v>
      </c>
      <c r="J57" t="s">
        <v>1140</v>
      </c>
      <c r="K57" t="s">
        <v>1141</v>
      </c>
      <c r="L57" t="s">
        <v>3479</v>
      </c>
      <c r="M57" t="s">
        <v>110</v>
      </c>
      <c r="N57" t="s">
        <v>109</v>
      </c>
      <c r="O57" t="s">
        <v>100</v>
      </c>
      <c r="P57" t="s">
        <v>100</v>
      </c>
      <c r="Q57" t="s">
        <v>101</v>
      </c>
      <c r="R57" t="s">
        <v>1140</v>
      </c>
      <c r="S57" t="s">
        <v>1141</v>
      </c>
      <c r="T57" t="s">
        <v>3250</v>
      </c>
      <c r="U57" t="s">
        <v>3260</v>
      </c>
      <c r="V57" t="s">
        <v>3279</v>
      </c>
      <c r="W57" t="s">
        <v>3252</v>
      </c>
      <c r="X57" t="s">
        <v>3262</v>
      </c>
      <c r="Y57" t="s">
        <v>3263</v>
      </c>
      <c r="Z57" t="s">
        <v>3280</v>
      </c>
      <c r="AA57" t="s">
        <v>3281</v>
      </c>
      <c r="AB57" t="s">
        <v>3279</v>
      </c>
      <c r="AC57" t="s">
        <v>62</v>
      </c>
      <c r="AD57" t="s">
        <v>62</v>
      </c>
      <c r="AE57" t="s">
        <v>62</v>
      </c>
      <c r="AF57" t="s">
        <v>3480</v>
      </c>
      <c r="AG57" t="s">
        <v>3481</v>
      </c>
      <c r="AH57" t="s">
        <v>3480</v>
      </c>
      <c r="AI57" t="s">
        <v>3481</v>
      </c>
      <c r="AJ57" t="s">
        <v>3480</v>
      </c>
      <c r="AK57" t="s">
        <v>3481</v>
      </c>
      <c r="AL57" t="s">
        <v>3257</v>
      </c>
    </row>
    <row r="58" spans="1:38" ht="11.25" customHeight="1">
      <c r="A58" t="s">
        <v>22</v>
      </c>
      <c r="B58" t="s">
        <v>48</v>
      </c>
      <c r="C58" t="s">
        <v>50</v>
      </c>
      <c r="D58" t="s">
        <v>22</v>
      </c>
      <c r="E58" t="s">
        <v>3482</v>
      </c>
      <c r="F58" t="s">
        <v>1170</v>
      </c>
      <c r="G58" t="s">
        <v>100</v>
      </c>
      <c r="H58" t="s">
        <v>100</v>
      </c>
      <c r="I58" t="s">
        <v>101</v>
      </c>
      <c r="J58" t="s">
        <v>1140</v>
      </c>
      <c r="K58" t="s">
        <v>1141</v>
      </c>
      <c r="L58" t="s">
        <v>3483</v>
      </c>
      <c r="M58" t="s">
        <v>1615</v>
      </c>
      <c r="N58" t="s">
        <v>109</v>
      </c>
      <c r="O58" t="s">
        <v>100</v>
      </c>
      <c r="P58" t="s">
        <v>100</v>
      </c>
      <c r="Q58" t="s">
        <v>101</v>
      </c>
      <c r="R58" t="s">
        <v>1140</v>
      </c>
      <c r="S58" t="s">
        <v>1141</v>
      </c>
      <c r="T58" t="s">
        <v>3250</v>
      </c>
      <c r="U58" t="s">
        <v>3260</v>
      </c>
      <c r="V58" t="s">
        <v>3279</v>
      </c>
      <c r="W58" t="s">
        <v>3252</v>
      </c>
      <c r="X58" t="s">
        <v>3262</v>
      </c>
      <c r="Y58" t="s">
        <v>3263</v>
      </c>
      <c r="Z58" t="s">
        <v>3280</v>
      </c>
      <c r="AA58" t="s">
        <v>3281</v>
      </c>
      <c r="AB58" t="s">
        <v>3279</v>
      </c>
      <c r="AC58" t="s">
        <v>62</v>
      </c>
      <c r="AD58" t="s">
        <v>19</v>
      </c>
      <c r="AE58" t="s">
        <v>19</v>
      </c>
      <c r="AF58" t="s">
        <v>3394</v>
      </c>
      <c r="AG58" t="s">
        <v>3484</v>
      </c>
      <c r="AH58" t="s">
        <v>22</v>
      </c>
      <c r="AI58" t="s">
        <v>22</v>
      </c>
      <c r="AJ58" t="s">
        <v>22</v>
      </c>
      <c r="AK58" t="s">
        <v>22</v>
      </c>
      <c r="AL58" t="s">
        <v>3257</v>
      </c>
    </row>
    <row r="59" spans="1:38" ht="11.25" customHeight="1">
      <c r="A59" t="s">
        <v>22</v>
      </c>
      <c r="B59" t="s">
        <v>48</v>
      </c>
      <c r="C59" t="s">
        <v>50</v>
      </c>
      <c r="D59" t="s">
        <v>22</v>
      </c>
      <c r="E59" t="s">
        <v>3485</v>
      </c>
      <c r="F59" t="s">
        <v>1139</v>
      </c>
      <c r="G59" t="s">
        <v>100</v>
      </c>
      <c r="H59" t="s">
        <v>100</v>
      </c>
      <c r="I59" t="s">
        <v>101</v>
      </c>
      <c r="J59" t="s">
        <v>1140</v>
      </c>
      <c r="K59" t="s">
        <v>1141</v>
      </c>
      <c r="L59" t="s">
        <v>3483</v>
      </c>
      <c r="M59" t="s">
        <v>93</v>
      </c>
      <c r="N59" t="s">
        <v>109</v>
      </c>
      <c r="O59" t="s">
        <v>100</v>
      </c>
      <c r="P59" t="s">
        <v>100</v>
      </c>
      <c r="Q59" t="s">
        <v>101</v>
      </c>
      <c r="R59" t="s">
        <v>1140</v>
      </c>
      <c r="S59" t="s">
        <v>1141</v>
      </c>
      <c r="T59" t="s">
        <v>3250</v>
      </c>
      <c r="U59" t="s">
        <v>3260</v>
      </c>
      <c r="V59" t="s">
        <v>3279</v>
      </c>
      <c r="W59" t="s">
        <v>3252</v>
      </c>
      <c r="X59" t="s">
        <v>3262</v>
      </c>
      <c r="Y59" t="s">
        <v>3263</v>
      </c>
      <c r="Z59" t="s">
        <v>3280</v>
      </c>
      <c r="AA59" t="s">
        <v>3281</v>
      </c>
      <c r="AB59" t="s">
        <v>3279</v>
      </c>
      <c r="AC59" t="s">
        <v>62</v>
      </c>
      <c r="AD59" t="s">
        <v>62</v>
      </c>
      <c r="AE59" t="s">
        <v>62</v>
      </c>
      <c r="AF59" t="s">
        <v>3394</v>
      </c>
      <c r="AG59" t="s">
        <v>3486</v>
      </c>
      <c r="AH59" t="s">
        <v>3487</v>
      </c>
      <c r="AI59" t="s">
        <v>3486</v>
      </c>
      <c r="AJ59" t="s">
        <v>3487</v>
      </c>
      <c r="AK59" t="s">
        <v>3486</v>
      </c>
      <c r="AL59" t="s">
        <v>3257</v>
      </c>
    </row>
    <row r="60" spans="1:38" ht="11.25" customHeight="1">
      <c r="A60" t="s">
        <v>22</v>
      </c>
      <c r="B60" t="s">
        <v>48</v>
      </c>
      <c r="C60" t="s">
        <v>50</v>
      </c>
      <c r="D60" t="s">
        <v>22</v>
      </c>
      <c r="E60" t="s">
        <v>3488</v>
      </c>
      <c r="F60" t="s">
        <v>1139</v>
      </c>
      <c r="G60" t="s">
        <v>100</v>
      </c>
      <c r="H60" t="s">
        <v>100</v>
      </c>
      <c r="I60" t="s">
        <v>101</v>
      </c>
      <c r="J60" t="s">
        <v>1140</v>
      </c>
      <c r="K60" t="s">
        <v>1141</v>
      </c>
      <c r="L60" t="s">
        <v>3489</v>
      </c>
      <c r="M60" t="s">
        <v>1632</v>
      </c>
      <c r="N60" t="s">
        <v>109</v>
      </c>
      <c r="O60" t="s">
        <v>100</v>
      </c>
      <c r="P60" t="s">
        <v>100</v>
      </c>
      <c r="Q60" t="s">
        <v>101</v>
      </c>
      <c r="R60" t="s">
        <v>1140</v>
      </c>
      <c r="S60" t="s">
        <v>1141</v>
      </c>
      <c r="T60" t="s">
        <v>3250</v>
      </c>
      <c r="U60" t="s">
        <v>3260</v>
      </c>
      <c r="V60" t="s">
        <v>3279</v>
      </c>
      <c r="W60" t="s">
        <v>3252</v>
      </c>
      <c r="X60" t="s">
        <v>3262</v>
      </c>
      <c r="Y60" t="s">
        <v>3263</v>
      </c>
      <c r="Z60" t="s">
        <v>3280</v>
      </c>
      <c r="AA60" t="s">
        <v>3281</v>
      </c>
      <c r="AB60" t="s">
        <v>3279</v>
      </c>
      <c r="AC60" t="s">
        <v>62</v>
      </c>
      <c r="AD60" t="s">
        <v>62</v>
      </c>
      <c r="AE60" t="s">
        <v>62</v>
      </c>
      <c r="AF60" t="s">
        <v>3490</v>
      </c>
      <c r="AG60" t="s">
        <v>3491</v>
      </c>
      <c r="AH60" t="s">
        <v>3490</v>
      </c>
      <c r="AI60" t="s">
        <v>3491</v>
      </c>
      <c r="AJ60" t="s">
        <v>3490</v>
      </c>
      <c r="AK60" t="s">
        <v>3491</v>
      </c>
      <c r="AL60" t="s">
        <v>3257</v>
      </c>
    </row>
    <row r="61" spans="1:38" ht="11.25" customHeight="1">
      <c r="A61" t="s">
        <v>22</v>
      </c>
      <c r="B61" t="s">
        <v>48</v>
      </c>
      <c r="C61" t="s">
        <v>50</v>
      </c>
      <c r="D61" t="s">
        <v>22</v>
      </c>
      <c r="E61" t="s">
        <v>3492</v>
      </c>
      <c r="F61" t="s">
        <v>1170</v>
      </c>
      <c r="G61" t="s">
        <v>100</v>
      </c>
      <c r="H61" t="s">
        <v>100</v>
      </c>
      <c r="I61" t="s">
        <v>101</v>
      </c>
      <c r="J61" t="s">
        <v>1140</v>
      </c>
      <c r="K61" t="s">
        <v>1141</v>
      </c>
      <c r="L61" t="s">
        <v>3342</v>
      </c>
      <c r="M61" t="s">
        <v>3493</v>
      </c>
      <c r="N61" t="s">
        <v>109</v>
      </c>
      <c r="O61" t="s">
        <v>100</v>
      </c>
      <c r="P61" t="s">
        <v>100</v>
      </c>
      <c r="Q61" t="s">
        <v>101</v>
      </c>
      <c r="R61" t="s">
        <v>1140</v>
      </c>
      <c r="S61" t="s">
        <v>1141</v>
      </c>
      <c r="T61" t="s">
        <v>3259</v>
      </c>
      <c r="U61" t="s">
        <v>3260</v>
      </c>
      <c r="V61" t="s">
        <v>3261</v>
      </c>
      <c r="W61" t="s">
        <v>3252</v>
      </c>
      <c r="X61" t="s">
        <v>3262</v>
      </c>
      <c r="Y61" t="s">
        <v>3263</v>
      </c>
      <c r="Z61" t="s">
        <v>3264</v>
      </c>
      <c r="AA61" t="s">
        <v>3265</v>
      </c>
      <c r="AB61" t="s">
        <v>3261</v>
      </c>
      <c r="AC61" t="s">
        <v>62</v>
      </c>
      <c r="AD61" t="s">
        <v>19</v>
      </c>
      <c r="AE61" t="s">
        <v>19</v>
      </c>
      <c r="AF61" t="s">
        <v>3494</v>
      </c>
      <c r="AG61" t="s">
        <v>3495</v>
      </c>
      <c r="AH61" t="s">
        <v>22</v>
      </c>
      <c r="AI61" t="s">
        <v>22</v>
      </c>
      <c r="AJ61" t="s">
        <v>22</v>
      </c>
      <c r="AK61" t="s">
        <v>22</v>
      </c>
      <c r="AL61" t="s">
        <v>3257</v>
      </c>
    </row>
    <row r="62" spans="1:38" ht="11.25" customHeight="1">
      <c r="A62" t="s">
        <v>22</v>
      </c>
      <c r="B62" t="s">
        <v>48</v>
      </c>
      <c r="C62" t="s">
        <v>50</v>
      </c>
      <c r="D62" t="s">
        <v>22</v>
      </c>
      <c r="E62" t="s">
        <v>3496</v>
      </c>
      <c r="F62" t="s">
        <v>1139</v>
      </c>
      <c r="G62" t="s">
        <v>100</v>
      </c>
      <c r="H62" t="s">
        <v>100</v>
      </c>
      <c r="I62" t="s">
        <v>101</v>
      </c>
      <c r="J62" t="s">
        <v>1140</v>
      </c>
      <c r="K62" t="s">
        <v>1141</v>
      </c>
      <c r="L62" t="s">
        <v>3497</v>
      </c>
      <c r="M62" t="s">
        <v>91</v>
      </c>
      <c r="N62" t="s">
        <v>109</v>
      </c>
      <c r="O62" t="s">
        <v>100</v>
      </c>
      <c r="P62" t="s">
        <v>100</v>
      </c>
      <c r="Q62" t="s">
        <v>101</v>
      </c>
      <c r="R62" t="s">
        <v>1140</v>
      </c>
      <c r="S62" t="s">
        <v>1141</v>
      </c>
      <c r="T62" t="s">
        <v>3250</v>
      </c>
      <c r="U62" t="s">
        <v>3260</v>
      </c>
      <c r="V62" t="s">
        <v>3279</v>
      </c>
      <c r="W62" t="s">
        <v>3252</v>
      </c>
      <c r="X62" t="s">
        <v>3262</v>
      </c>
      <c r="Y62" t="s">
        <v>3263</v>
      </c>
      <c r="Z62" t="s">
        <v>3280</v>
      </c>
      <c r="AA62" t="s">
        <v>3281</v>
      </c>
      <c r="AB62" t="s">
        <v>3279</v>
      </c>
      <c r="AC62" t="s">
        <v>62</v>
      </c>
      <c r="AD62" t="s">
        <v>62</v>
      </c>
      <c r="AE62" t="s">
        <v>62</v>
      </c>
      <c r="AF62" t="s">
        <v>986</v>
      </c>
      <c r="AG62" t="s">
        <v>3498</v>
      </c>
      <c r="AH62" t="s">
        <v>986</v>
      </c>
      <c r="AI62" t="s">
        <v>3498</v>
      </c>
      <c r="AJ62" t="s">
        <v>986</v>
      </c>
      <c r="AK62" t="s">
        <v>3498</v>
      </c>
      <c r="AL62" t="s">
        <v>3257</v>
      </c>
    </row>
    <row r="63" spans="1:38" ht="11.25" customHeight="1">
      <c r="A63" t="s">
        <v>22</v>
      </c>
      <c r="B63" t="s">
        <v>48</v>
      </c>
      <c r="C63" t="s">
        <v>50</v>
      </c>
      <c r="D63" t="s">
        <v>22</v>
      </c>
      <c r="E63" t="s">
        <v>1169</v>
      </c>
      <c r="F63" t="s">
        <v>1170</v>
      </c>
      <c r="G63" t="s">
        <v>100</v>
      </c>
      <c r="H63" t="s">
        <v>100</v>
      </c>
      <c r="I63" t="s">
        <v>101</v>
      </c>
      <c r="J63" t="s">
        <v>1140</v>
      </c>
      <c r="K63" t="s">
        <v>1141</v>
      </c>
      <c r="L63" t="s">
        <v>1171</v>
      </c>
      <c r="M63" t="s">
        <v>154</v>
      </c>
      <c r="N63" t="s">
        <v>109</v>
      </c>
      <c r="O63" t="s">
        <v>100</v>
      </c>
      <c r="P63" t="s">
        <v>100</v>
      </c>
      <c r="Q63" t="s">
        <v>101</v>
      </c>
      <c r="R63" t="s">
        <v>1140</v>
      </c>
      <c r="S63" t="s">
        <v>1141</v>
      </c>
      <c r="T63" t="s">
        <v>3259</v>
      </c>
      <c r="U63" t="s">
        <v>3260</v>
      </c>
      <c r="V63" t="s">
        <v>3261</v>
      </c>
      <c r="W63" t="s">
        <v>3252</v>
      </c>
      <c r="X63" t="s">
        <v>3262</v>
      </c>
      <c r="Y63" t="s">
        <v>3263</v>
      </c>
      <c r="Z63" t="s">
        <v>3264</v>
      </c>
      <c r="AA63" t="s">
        <v>3265</v>
      </c>
      <c r="AB63" t="s">
        <v>3261</v>
      </c>
      <c r="AC63" t="s">
        <v>62</v>
      </c>
      <c r="AD63" t="s">
        <v>19</v>
      </c>
      <c r="AE63" t="s">
        <v>19</v>
      </c>
      <c r="AF63" t="s">
        <v>3296</v>
      </c>
      <c r="AG63" t="s">
        <v>3499</v>
      </c>
      <c r="AH63" t="s">
        <v>22</v>
      </c>
      <c r="AI63" t="s">
        <v>22</v>
      </c>
      <c r="AJ63" t="s">
        <v>22</v>
      </c>
      <c r="AK63" t="s">
        <v>22</v>
      </c>
      <c r="AL63" t="s">
        <v>3257</v>
      </c>
    </row>
    <row r="64" spans="1:38" ht="11.25" customHeight="1">
      <c r="A64" t="s">
        <v>22</v>
      </c>
      <c r="B64" t="s">
        <v>48</v>
      </c>
      <c r="C64" t="s">
        <v>50</v>
      </c>
      <c r="D64" t="s">
        <v>22</v>
      </c>
      <c r="E64" t="s">
        <v>3500</v>
      </c>
      <c r="F64" t="s">
        <v>1139</v>
      </c>
      <c r="G64" t="s">
        <v>100</v>
      </c>
      <c r="H64" t="s">
        <v>100</v>
      </c>
      <c r="I64" t="s">
        <v>101</v>
      </c>
      <c r="J64" t="s">
        <v>1140</v>
      </c>
      <c r="K64" t="s">
        <v>1141</v>
      </c>
      <c r="L64" t="s">
        <v>3359</v>
      </c>
      <c r="M64" t="s">
        <v>3501</v>
      </c>
      <c r="N64" t="s">
        <v>109</v>
      </c>
      <c r="O64" t="s">
        <v>100</v>
      </c>
      <c r="P64" t="s">
        <v>100</v>
      </c>
      <c r="Q64" t="s">
        <v>101</v>
      </c>
      <c r="R64" t="s">
        <v>1140</v>
      </c>
      <c r="S64" t="s">
        <v>1141</v>
      </c>
      <c r="T64" t="s">
        <v>3250</v>
      </c>
      <c r="U64" t="s">
        <v>3260</v>
      </c>
      <c r="V64" t="s">
        <v>3279</v>
      </c>
      <c r="W64" t="s">
        <v>3252</v>
      </c>
      <c r="X64" t="s">
        <v>3262</v>
      </c>
      <c r="Y64" t="s">
        <v>3263</v>
      </c>
      <c r="Z64" t="s">
        <v>3280</v>
      </c>
      <c r="AA64" t="s">
        <v>3281</v>
      </c>
      <c r="AB64" t="s">
        <v>3279</v>
      </c>
      <c r="AC64" t="s">
        <v>62</v>
      </c>
      <c r="AD64" t="s">
        <v>62</v>
      </c>
      <c r="AE64" t="s">
        <v>62</v>
      </c>
      <c r="AF64" t="s">
        <v>3502</v>
      </c>
      <c r="AG64" t="s">
        <v>3503</v>
      </c>
      <c r="AH64" t="s">
        <v>149</v>
      </c>
      <c r="AI64" t="s">
        <v>3504</v>
      </c>
      <c r="AJ64" t="s">
        <v>149</v>
      </c>
      <c r="AK64" t="s">
        <v>3504</v>
      </c>
      <c r="AL64" t="s">
        <v>3257</v>
      </c>
    </row>
    <row r="65" spans="1:38" ht="11.25" customHeight="1">
      <c r="A65" t="s">
        <v>22</v>
      </c>
      <c r="B65" t="s">
        <v>48</v>
      </c>
      <c r="C65" t="s">
        <v>50</v>
      </c>
      <c r="D65" t="s">
        <v>22</v>
      </c>
      <c r="E65" t="s">
        <v>3505</v>
      </c>
      <c r="F65" t="s">
        <v>1139</v>
      </c>
      <c r="G65" t="s">
        <v>100</v>
      </c>
      <c r="H65" t="s">
        <v>100</v>
      </c>
      <c r="I65" t="s">
        <v>101</v>
      </c>
      <c r="J65" t="s">
        <v>1140</v>
      </c>
      <c r="K65" t="s">
        <v>1141</v>
      </c>
      <c r="L65" t="s">
        <v>3506</v>
      </c>
      <c r="M65" t="s">
        <v>1752</v>
      </c>
      <c r="N65" t="s">
        <v>109</v>
      </c>
      <c r="O65" t="s">
        <v>100</v>
      </c>
      <c r="P65" t="s">
        <v>100</v>
      </c>
      <c r="Q65" t="s">
        <v>101</v>
      </c>
      <c r="R65" t="s">
        <v>1140</v>
      </c>
      <c r="S65" t="s">
        <v>1141</v>
      </c>
      <c r="T65" t="s">
        <v>3250</v>
      </c>
      <c r="U65" t="s">
        <v>3260</v>
      </c>
      <c r="V65" t="s">
        <v>3279</v>
      </c>
      <c r="W65" t="s">
        <v>3252</v>
      </c>
      <c r="X65" t="s">
        <v>3262</v>
      </c>
      <c r="Y65" t="s">
        <v>3263</v>
      </c>
      <c r="Z65" t="s">
        <v>3280</v>
      </c>
      <c r="AA65" t="s">
        <v>3281</v>
      </c>
      <c r="AB65" t="s">
        <v>3279</v>
      </c>
      <c r="AC65" t="s">
        <v>62</v>
      </c>
      <c r="AD65" t="s">
        <v>62</v>
      </c>
      <c r="AE65" t="s">
        <v>62</v>
      </c>
      <c r="AF65" t="s">
        <v>986</v>
      </c>
      <c r="AG65" t="s">
        <v>3507</v>
      </c>
      <c r="AH65" t="s">
        <v>986</v>
      </c>
      <c r="AI65" t="s">
        <v>3507</v>
      </c>
      <c r="AJ65" t="s">
        <v>986</v>
      </c>
      <c r="AK65" t="s">
        <v>3507</v>
      </c>
      <c r="AL65" t="s">
        <v>3257</v>
      </c>
    </row>
    <row r="66" spans="1:38" ht="11.25" customHeight="1">
      <c r="A66" t="s">
        <v>22</v>
      </c>
      <c r="B66" t="s">
        <v>48</v>
      </c>
      <c r="C66" t="s">
        <v>50</v>
      </c>
      <c r="D66" t="s">
        <v>22</v>
      </c>
      <c r="E66" t="s">
        <v>3508</v>
      </c>
      <c r="F66" t="s">
        <v>1139</v>
      </c>
      <c r="G66" t="s">
        <v>100</v>
      </c>
      <c r="H66" t="s">
        <v>100</v>
      </c>
      <c r="I66" t="s">
        <v>101</v>
      </c>
      <c r="J66" t="s">
        <v>1140</v>
      </c>
      <c r="K66" t="s">
        <v>1141</v>
      </c>
      <c r="L66" t="s">
        <v>3438</v>
      </c>
      <c r="M66" t="s">
        <v>1748</v>
      </c>
      <c r="N66" t="s">
        <v>109</v>
      </c>
      <c r="O66" t="s">
        <v>100</v>
      </c>
      <c r="P66" t="s">
        <v>100</v>
      </c>
      <c r="Q66" t="s">
        <v>101</v>
      </c>
      <c r="R66" t="s">
        <v>1140</v>
      </c>
      <c r="S66" t="s">
        <v>1141</v>
      </c>
      <c r="T66" t="s">
        <v>3259</v>
      </c>
      <c r="U66" t="s">
        <v>3260</v>
      </c>
      <c r="V66" t="s">
        <v>3261</v>
      </c>
      <c r="W66" t="s">
        <v>3252</v>
      </c>
      <c r="X66" t="s">
        <v>3262</v>
      </c>
      <c r="Y66" t="s">
        <v>3263</v>
      </c>
      <c r="Z66" t="s">
        <v>3264</v>
      </c>
      <c r="AA66" t="s">
        <v>3265</v>
      </c>
      <c r="AB66" t="s">
        <v>3261</v>
      </c>
      <c r="AC66" t="s">
        <v>62</v>
      </c>
      <c r="AD66" t="s">
        <v>62</v>
      </c>
      <c r="AE66" t="s">
        <v>62</v>
      </c>
      <c r="AF66" t="s">
        <v>3266</v>
      </c>
      <c r="AG66" t="s">
        <v>3509</v>
      </c>
      <c r="AH66" t="s">
        <v>3275</v>
      </c>
      <c r="AI66" t="s">
        <v>3509</v>
      </c>
      <c r="AJ66" t="s">
        <v>3275</v>
      </c>
      <c r="AK66" t="s">
        <v>3509</v>
      </c>
      <c r="AL66" t="s">
        <v>3257</v>
      </c>
    </row>
    <row r="67" spans="1:38" ht="11.25" customHeight="1">
      <c r="A67" t="s">
        <v>22</v>
      </c>
      <c r="B67" t="s">
        <v>48</v>
      </c>
      <c r="C67" t="s">
        <v>50</v>
      </c>
      <c r="D67" t="s">
        <v>22</v>
      </c>
      <c r="E67" t="s">
        <v>3510</v>
      </c>
      <c r="F67" t="s">
        <v>1139</v>
      </c>
      <c r="G67" t="s">
        <v>100</v>
      </c>
      <c r="H67" t="s">
        <v>100</v>
      </c>
      <c r="I67" t="s">
        <v>101</v>
      </c>
      <c r="J67" t="s">
        <v>1140</v>
      </c>
      <c r="K67" t="s">
        <v>1141</v>
      </c>
      <c r="L67" t="s">
        <v>3511</v>
      </c>
      <c r="M67" t="s">
        <v>1708</v>
      </c>
      <c r="N67" t="s">
        <v>109</v>
      </c>
      <c r="O67" t="s">
        <v>100</v>
      </c>
      <c r="P67" t="s">
        <v>100</v>
      </c>
      <c r="Q67" t="s">
        <v>101</v>
      </c>
      <c r="R67" t="s">
        <v>1140</v>
      </c>
      <c r="S67" t="s">
        <v>1141</v>
      </c>
      <c r="T67" t="s">
        <v>3259</v>
      </c>
      <c r="U67" t="s">
        <v>3260</v>
      </c>
      <c r="V67" t="s">
        <v>3261</v>
      </c>
      <c r="W67" t="s">
        <v>3252</v>
      </c>
      <c r="X67" t="s">
        <v>3262</v>
      </c>
      <c r="Y67" t="s">
        <v>3263</v>
      </c>
      <c r="Z67" t="s">
        <v>3264</v>
      </c>
      <c r="AA67" t="s">
        <v>3265</v>
      </c>
      <c r="AB67" t="s">
        <v>3261</v>
      </c>
      <c r="AC67" t="s">
        <v>62</v>
      </c>
      <c r="AD67" t="s">
        <v>62</v>
      </c>
      <c r="AE67" t="s">
        <v>62</v>
      </c>
      <c r="AF67" t="s">
        <v>3512</v>
      </c>
      <c r="AG67" t="s">
        <v>3513</v>
      </c>
      <c r="AH67" t="s">
        <v>3512</v>
      </c>
      <c r="AI67" t="s">
        <v>3514</v>
      </c>
      <c r="AJ67" t="s">
        <v>3512</v>
      </c>
      <c r="AK67" t="s">
        <v>3514</v>
      </c>
      <c r="AL67" t="s">
        <v>3257</v>
      </c>
    </row>
    <row r="68" spans="1:38" ht="11.25" customHeight="1">
      <c r="A68" t="s">
        <v>22</v>
      </c>
      <c r="B68" t="s">
        <v>48</v>
      </c>
      <c r="C68" t="s">
        <v>50</v>
      </c>
      <c r="D68" t="s">
        <v>22</v>
      </c>
      <c r="E68" t="s">
        <v>3515</v>
      </c>
      <c r="F68" t="s">
        <v>1170</v>
      </c>
      <c r="G68" t="s">
        <v>100</v>
      </c>
      <c r="H68" t="s">
        <v>100</v>
      </c>
      <c r="I68" t="s">
        <v>101</v>
      </c>
      <c r="J68" t="s">
        <v>1140</v>
      </c>
      <c r="K68" t="s">
        <v>1141</v>
      </c>
      <c r="L68" t="s">
        <v>3511</v>
      </c>
      <c r="M68" t="s">
        <v>1167</v>
      </c>
      <c r="N68" t="s">
        <v>109</v>
      </c>
      <c r="O68" t="s">
        <v>100</v>
      </c>
      <c r="P68" t="s">
        <v>100</v>
      </c>
      <c r="Q68" t="s">
        <v>101</v>
      </c>
      <c r="R68" t="s">
        <v>1140</v>
      </c>
      <c r="S68" t="s">
        <v>1141</v>
      </c>
      <c r="T68" t="s">
        <v>3259</v>
      </c>
      <c r="U68" t="s">
        <v>3260</v>
      </c>
      <c r="V68" t="s">
        <v>3261</v>
      </c>
      <c r="W68" t="s">
        <v>3252</v>
      </c>
      <c r="X68" t="s">
        <v>3262</v>
      </c>
      <c r="Y68" t="s">
        <v>3263</v>
      </c>
      <c r="Z68" t="s">
        <v>3264</v>
      </c>
      <c r="AA68" t="s">
        <v>3265</v>
      </c>
      <c r="AB68" t="s">
        <v>3261</v>
      </c>
      <c r="AC68" t="s">
        <v>62</v>
      </c>
      <c r="AD68" t="s">
        <v>19</v>
      </c>
      <c r="AE68" t="s">
        <v>19</v>
      </c>
      <c r="AF68" t="s">
        <v>3516</v>
      </c>
      <c r="AG68" t="s">
        <v>3517</v>
      </c>
      <c r="AH68" t="s">
        <v>22</v>
      </c>
      <c r="AI68" t="s">
        <v>22</v>
      </c>
      <c r="AJ68" t="s">
        <v>22</v>
      </c>
      <c r="AK68" t="s">
        <v>22</v>
      </c>
      <c r="AL68" t="s">
        <v>3257</v>
      </c>
    </row>
    <row r="69" spans="1:38" ht="11.25" customHeight="1">
      <c r="A69" t="s">
        <v>22</v>
      </c>
      <c r="B69" t="s">
        <v>48</v>
      </c>
      <c r="C69" t="s">
        <v>50</v>
      </c>
      <c r="D69" t="s">
        <v>22</v>
      </c>
      <c r="E69" t="s">
        <v>3518</v>
      </c>
      <c r="F69" t="s">
        <v>1139</v>
      </c>
      <c r="G69" t="s">
        <v>100</v>
      </c>
      <c r="H69" t="s">
        <v>100</v>
      </c>
      <c r="I69" t="s">
        <v>101</v>
      </c>
      <c r="J69" t="s">
        <v>1140</v>
      </c>
      <c r="K69" t="s">
        <v>1141</v>
      </c>
      <c r="L69" t="s">
        <v>3519</v>
      </c>
      <c r="M69" t="s">
        <v>3520</v>
      </c>
      <c r="N69" t="s">
        <v>109</v>
      </c>
      <c r="O69" t="s">
        <v>100</v>
      </c>
      <c r="P69" t="s">
        <v>100</v>
      </c>
      <c r="Q69" t="s">
        <v>101</v>
      </c>
      <c r="R69" t="s">
        <v>1140</v>
      </c>
      <c r="S69" t="s">
        <v>1141</v>
      </c>
      <c r="T69" t="s">
        <v>3259</v>
      </c>
      <c r="U69" t="s">
        <v>3260</v>
      </c>
      <c r="V69" t="s">
        <v>3261</v>
      </c>
      <c r="W69" t="s">
        <v>3252</v>
      </c>
      <c r="X69" t="s">
        <v>3262</v>
      </c>
      <c r="Y69" t="s">
        <v>3263</v>
      </c>
      <c r="Z69" t="s">
        <v>3264</v>
      </c>
      <c r="AA69" t="s">
        <v>3265</v>
      </c>
      <c r="AB69" t="s">
        <v>3261</v>
      </c>
      <c r="AC69" t="s">
        <v>62</v>
      </c>
      <c r="AD69" t="s">
        <v>62</v>
      </c>
      <c r="AE69" t="s">
        <v>62</v>
      </c>
      <c r="AF69" t="s">
        <v>3521</v>
      </c>
      <c r="AG69" t="s">
        <v>3522</v>
      </c>
      <c r="AH69" t="s">
        <v>3521</v>
      </c>
      <c r="AI69" t="s">
        <v>3523</v>
      </c>
      <c r="AJ69" t="s">
        <v>3521</v>
      </c>
      <c r="AK69" t="s">
        <v>3523</v>
      </c>
      <c r="AL69" t="s">
        <v>3257</v>
      </c>
    </row>
    <row r="70" spans="1:38" ht="11.25" customHeight="1">
      <c r="A70" t="s">
        <v>22</v>
      </c>
      <c r="B70" t="s">
        <v>48</v>
      </c>
      <c r="C70" t="s">
        <v>50</v>
      </c>
      <c r="D70" t="s">
        <v>22</v>
      </c>
      <c r="E70" t="s">
        <v>3524</v>
      </c>
      <c r="F70" t="s">
        <v>1139</v>
      </c>
      <c r="G70" t="s">
        <v>100</v>
      </c>
      <c r="H70" t="s">
        <v>100</v>
      </c>
      <c r="I70" t="s">
        <v>101</v>
      </c>
      <c r="J70" t="s">
        <v>1140</v>
      </c>
      <c r="K70" t="s">
        <v>1141</v>
      </c>
      <c r="L70" t="s">
        <v>3525</v>
      </c>
      <c r="M70" t="s">
        <v>111</v>
      </c>
      <c r="N70" t="s">
        <v>109</v>
      </c>
      <c r="O70" t="s">
        <v>100</v>
      </c>
      <c r="P70" t="s">
        <v>100</v>
      </c>
      <c r="Q70" t="s">
        <v>101</v>
      </c>
      <c r="R70" t="s">
        <v>1140</v>
      </c>
      <c r="S70" t="s">
        <v>1141</v>
      </c>
      <c r="T70" t="s">
        <v>3259</v>
      </c>
      <c r="U70" t="s">
        <v>3260</v>
      </c>
      <c r="V70" t="s">
        <v>3261</v>
      </c>
      <c r="W70" t="s">
        <v>3252</v>
      </c>
      <c r="X70" t="s">
        <v>3262</v>
      </c>
      <c r="Y70" t="s">
        <v>3263</v>
      </c>
      <c r="Z70" t="s">
        <v>3264</v>
      </c>
      <c r="AA70" t="s">
        <v>3265</v>
      </c>
      <c r="AB70" t="s">
        <v>3261</v>
      </c>
      <c r="AC70" t="s">
        <v>62</v>
      </c>
      <c r="AD70" t="s">
        <v>62</v>
      </c>
      <c r="AE70" t="s">
        <v>62</v>
      </c>
      <c r="AF70" t="s">
        <v>3397</v>
      </c>
      <c r="AG70" t="s">
        <v>3526</v>
      </c>
      <c r="AH70" t="s">
        <v>3268</v>
      </c>
      <c r="AI70" t="s">
        <v>3526</v>
      </c>
      <c r="AJ70" t="s">
        <v>3268</v>
      </c>
      <c r="AK70" t="s">
        <v>3526</v>
      </c>
      <c r="AL70" t="s">
        <v>3257</v>
      </c>
    </row>
    <row r="71" spans="1:38" ht="11.25" customHeight="1">
      <c r="A71" t="s">
        <v>22</v>
      </c>
      <c r="B71" t="s">
        <v>48</v>
      </c>
      <c r="C71" t="s">
        <v>50</v>
      </c>
      <c r="D71" t="s">
        <v>22</v>
      </c>
      <c r="E71" t="s">
        <v>3527</v>
      </c>
      <c r="F71" t="s">
        <v>1139</v>
      </c>
      <c r="G71" t="s">
        <v>100</v>
      </c>
      <c r="H71" t="s">
        <v>100</v>
      </c>
      <c r="I71" t="s">
        <v>101</v>
      </c>
      <c r="J71" t="s">
        <v>1140</v>
      </c>
      <c r="K71" t="s">
        <v>1141</v>
      </c>
      <c r="L71" t="s">
        <v>3528</v>
      </c>
      <c r="M71" t="s">
        <v>3529</v>
      </c>
      <c r="N71" t="s">
        <v>109</v>
      </c>
      <c r="O71" t="s">
        <v>100</v>
      </c>
      <c r="P71" t="s">
        <v>100</v>
      </c>
      <c r="Q71" t="s">
        <v>101</v>
      </c>
      <c r="R71" t="s">
        <v>1140</v>
      </c>
      <c r="S71" t="s">
        <v>1141</v>
      </c>
      <c r="T71" t="s">
        <v>3250</v>
      </c>
      <c r="U71" t="s">
        <v>3260</v>
      </c>
      <c r="V71" t="s">
        <v>3279</v>
      </c>
      <c r="W71" t="s">
        <v>3252</v>
      </c>
      <c r="X71" t="s">
        <v>3262</v>
      </c>
      <c r="Y71" t="s">
        <v>3263</v>
      </c>
      <c r="Z71" t="s">
        <v>3280</v>
      </c>
      <c r="AA71" t="s">
        <v>3281</v>
      </c>
      <c r="AB71" t="s">
        <v>3279</v>
      </c>
      <c r="AC71" t="s">
        <v>62</v>
      </c>
      <c r="AD71" t="s">
        <v>62</v>
      </c>
      <c r="AE71" t="s">
        <v>62</v>
      </c>
      <c r="AF71" t="s">
        <v>3526</v>
      </c>
      <c r="AG71" t="s">
        <v>3530</v>
      </c>
      <c r="AH71" t="s">
        <v>3526</v>
      </c>
      <c r="AI71" t="s">
        <v>3530</v>
      </c>
      <c r="AJ71" t="s">
        <v>3526</v>
      </c>
      <c r="AK71" t="s">
        <v>3530</v>
      </c>
      <c r="AL71" t="s">
        <v>3257</v>
      </c>
    </row>
    <row r="72" spans="1:38" ht="11.25" customHeight="1">
      <c r="A72" t="s">
        <v>22</v>
      </c>
      <c r="B72" t="s">
        <v>48</v>
      </c>
      <c r="C72" t="s">
        <v>50</v>
      </c>
      <c r="D72" t="s">
        <v>22</v>
      </c>
      <c r="E72" t="s">
        <v>3531</v>
      </c>
      <c r="F72" t="s">
        <v>1139</v>
      </c>
      <c r="G72" t="s">
        <v>100</v>
      </c>
      <c r="H72" t="s">
        <v>100</v>
      </c>
      <c r="I72" t="s">
        <v>101</v>
      </c>
      <c r="J72" t="s">
        <v>1140</v>
      </c>
      <c r="K72" t="s">
        <v>1141</v>
      </c>
      <c r="L72" t="s">
        <v>3528</v>
      </c>
      <c r="M72" t="s">
        <v>3532</v>
      </c>
      <c r="N72" t="s">
        <v>109</v>
      </c>
      <c r="O72" t="s">
        <v>100</v>
      </c>
      <c r="P72" t="s">
        <v>100</v>
      </c>
      <c r="Q72" t="s">
        <v>101</v>
      </c>
      <c r="R72" t="s">
        <v>1140</v>
      </c>
      <c r="S72" t="s">
        <v>1141</v>
      </c>
      <c r="T72" t="s">
        <v>3250</v>
      </c>
      <c r="U72" t="s">
        <v>3260</v>
      </c>
      <c r="V72" t="s">
        <v>3279</v>
      </c>
      <c r="W72" t="s">
        <v>3252</v>
      </c>
      <c r="X72" t="s">
        <v>3262</v>
      </c>
      <c r="Y72" t="s">
        <v>3263</v>
      </c>
      <c r="Z72" t="s">
        <v>3280</v>
      </c>
      <c r="AA72" t="s">
        <v>3281</v>
      </c>
      <c r="AB72" t="s">
        <v>3279</v>
      </c>
      <c r="AC72" t="s">
        <v>62</v>
      </c>
      <c r="AD72" t="s">
        <v>62</v>
      </c>
      <c r="AE72" t="s">
        <v>62</v>
      </c>
      <c r="AF72" t="s">
        <v>3447</v>
      </c>
      <c r="AG72" t="s">
        <v>3533</v>
      </c>
      <c r="AH72" t="s">
        <v>3447</v>
      </c>
      <c r="AI72" t="s">
        <v>3533</v>
      </c>
      <c r="AJ72" t="s">
        <v>3447</v>
      </c>
      <c r="AK72" t="s">
        <v>3533</v>
      </c>
      <c r="AL72" t="s">
        <v>3257</v>
      </c>
    </row>
    <row r="73" spans="1:38" ht="11.25" customHeight="1">
      <c r="A73" t="s">
        <v>22</v>
      </c>
      <c r="B73" t="s">
        <v>48</v>
      </c>
      <c r="C73" t="s">
        <v>50</v>
      </c>
      <c r="D73" t="s">
        <v>22</v>
      </c>
      <c r="E73" t="s">
        <v>3534</v>
      </c>
      <c r="F73" t="s">
        <v>1139</v>
      </c>
      <c r="G73" t="s">
        <v>100</v>
      </c>
      <c r="H73" t="s">
        <v>100</v>
      </c>
      <c r="I73" t="s">
        <v>101</v>
      </c>
      <c r="J73" t="s">
        <v>1140</v>
      </c>
      <c r="K73" t="s">
        <v>1141</v>
      </c>
      <c r="L73" t="s">
        <v>3535</v>
      </c>
      <c r="M73" t="s">
        <v>152</v>
      </c>
      <c r="N73" t="s">
        <v>109</v>
      </c>
      <c r="O73" t="s">
        <v>100</v>
      </c>
      <c r="P73" t="s">
        <v>100</v>
      </c>
      <c r="Q73" t="s">
        <v>101</v>
      </c>
      <c r="R73" t="s">
        <v>1140</v>
      </c>
      <c r="S73" t="s">
        <v>1141</v>
      </c>
      <c r="T73" t="s">
        <v>3250</v>
      </c>
      <c r="U73" t="s">
        <v>3260</v>
      </c>
      <c r="V73" t="s">
        <v>3279</v>
      </c>
      <c r="W73" t="s">
        <v>3252</v>
      </c>
      <c r="X73" t="s">
        <v>3262</v>
      </c>
      <c r="Y73" t="s">
        <v>3263</v>
      </c>
      <c r="Z73" t="s">
        <v>3280</v>
      </c>
      <c r="AA73" t="s">
        <v>3281</v>
      </c>
      <c r="AB73" t="s">
        <v>3279</v>
      </c>
      <c r="AC73" t="s">
        <v>62</v>
      </c>
      <c r="AD73" t="s">
        <v>62</v>
      </c>
      <c r="AE73" t="s">
        <v>62</v>
      </c>
      <c r="AF73" t="s">
        <v>3536</v>
      </c>
      <c r="AG73" t="s">
        <v>3537</v>
      </c>
      <c r="AH73" t="s">
        <v>3536</v>
      </c>
      <c r="AI73" t="s">
        <v>3537</v>
      </c>
      <c r="AJ73" t="s">
        <v>3536</v>
      </c>
      <c r="AK73" t="s">
        <v>3537</v>
      </c>
      <c r="AL73" t="s">
        <v>3257</v>
      </c>
    </row>
    <row r="74" spans="1:38" ht="11.25" customHeight="1">
      <c r="A74" t="s">
        <v>22</v>
      </c>
      <c r="B74" t="s">
        <v>48</v>
      </c>
      <c r="C74" t="s">
        <v>50</v>
      </c>
      <c r="D74" t="s">
        <v>22</v>
      </c>
      <c r="E74" t="s">
        <v>3538</v>
      </c>
      <c r="F74" t="s">
        <v>1139</v>
      </c>
      <c r="G74" t="s">
        <v>100</v>
      </c>
      <c r="H74" t="s">
        <v>100</v>
      </c>
      <c r="I74" t="s">
        <v>101</v>
      </c>
      <c r="J74" t="s">
        <v>1140</v>
      </c>
      <c r="K74" t="s">
        <v>1141</v>
      </c>
      <c r="L74" t="s">
        <v>3539</v>
      </c>
      <c r="M74" t="s">
        <v>91</v>
      </c>
      <c r="N74" t="s">
        <v>109</v>
      </c>
      <c r="O74" t="s">
        <v>100</v>
      </c>
      <c r="P74" t="s">
        <v>100</v>
      </c>
      <c r="Q74" t="s">
        <v>101</v>
      </c>
      <c r="R74" t="s">
        <v>1140</v>
      </c>
      <c r="S74" t="s">
        <v>1141</v>
      </c>
      <c r="T74" t="s">
        <v>3250</v>
      </c>
      <c r="U74" t="s">
        <v>3260</v>
      </c>
      <c r="V74" t="s">
        <v>3279</v>
      </c>
      <c r="W74" t="s">
        <v>3252</v>
      </c>
      <c r="X74" t="s">
        <v>3262</v>
      </c>
      <c r="Y74" t="s">
        <v>3263</v>
      </c>
      <c r="Z74" t="s">
        <v>3280</v>
      </c>
      <c r="AA74" t="s">
        <v>3281</v>
      </c>
      <c r="AB74" t="s">
        <v>3279</v>
      </c>
      <c r="AC74" t="s">
        <v>62</v>
      </c>
      <c r="AD74" t="s">
        <v>62</v>
      </c>
      <c r="AE74" t="s">
        <v>62</v>
      </c>
      <c r="AF74" t="s">
        <v>3540</v>
      </c>
      <c r="AG74" t="s">
        <v>3541</v>
      </c>
      <c r="AH74" t="s">
        <v>3540</v>
      </c>
      <c r="AI74" t="s">
        <v>3541</v>
      </c>
      <c r="AJ74" t="s">
        <v>3540</v>
      </c>
      <c r="AK74" t="s">
        <v>3541</v>
      </c>
      <c r="AL74" t="s">
        <v>3257</v>
      </c>
    </row>
    <row r="75" spans="1:38" ht="11.25" customHeight="1">
      <c r="A75" t="s">
        <v>22</v>
      </c>
      <c r="B75" t="s">
        <v>48</v>
      </c>
      <c r="C75" t="s">
        <v>50</v>
      </c>
      <c r="D75" t="s">
        <v>22</v>
      </c>
      <c r="E75" t="s">
        <v>1148</v>
      </c>
      <c r="F75" t="s">
        <v>1139</v>
      </c>
      <c r="G75" t="s">
        <v>100</v>
      </c>
      <c r="H75" t="s">
        <v>100</v>
      </c>
      <c r="I75" t="s">
        <v>101</v>
      </c>
      <c r="J75" t="s">
        <v>1140</v>
      </c>
      <c r="K75" t="s">
        <v>1141</v>
      </c>
      <c r="L75" t="s">
        <v>1149</v>
      </c>
      <c r="M75" t="s">
        <v>1150</v>
      </c>
      <c r="N75" t="s">
        <v>109</v>
      </c>
      <c r="O75" t="s">
        <v>100</v>
      </c>
      <c r="P75" t="s">
        <v>100</v>
      </c>
      <c r="Q75" t="s">
        <v>101</v>
      </c>
      <c r="R75" t="s">
        <v>1140</v>
      </c>
      <c r="S75" t="s">
        <v>1141</v>
      </c>
      <c r="T75" t="s">
        <v>3250</v>
      </c>
      <c r="U75" t="s">
        <v>3260</v>
      </c>
      <c r="V75" t="s">
        <v>3279</v>
      </c>
      <c r="W75" t="s">
        <v>3252</v>
      </c>
      <c r="X75" t="s">
        <v>3262</v>
      </c>
      <c r="Y75" t="s">
        <v>3263</v>
      </c>
      <c r="Z75" t="s">
        <v>3280</v>
      </c>
      <c r="AA75" t="s">
        <v>3281</v>
      </c>
      <c r="AB75" t="s">
        <v>3279</v>
      </c>
      <c r="AC75" t="s">
        <v>62</v>
      </c>
      <c r="AD75" t="s">
        <v>62</v>
      </c>
      <c r="AE75" t="s">
        <v>62</v>
      </c>
      <c r="AF75" t="s">
        <v>3542</v>
      </c>
      <c r="AG75" t="s">
        <v>3543</v>
      </c>
      <c r="AH75" t="s">
        <v>3542</v>
      </c>
      <c r="AI75" t="s">
        <v>3543</v>
      </c>
      <c r="AJ75" t="s">
        <v>3542</v>
      </c>
      <c r="AK75" t="s">
        <v>3543</v>
      </c>
      <c r="AL75" t="s">
        <v>3257</v>
      </c>
    </row>
    <row r="76" spans="1:38" ht="11.25" customHeight="1">
      <c r="A76" t="s">
        <v>22</v>
      </c>
      <c r="B76" t="s">
        <v>48</v>
      </c>
      <c r="C76" t="s">
        <v>50</v>
      </c>
      <c r="D76" t="s">
        <v>22</v>
      </c>
      <c r="E76" t="s">
        <v>3544</v>
      </c>
      <c r="F76" t="s">
        <v>1139</v>
      </c>
      <c r="G76" t="s">
        <v>100</v>
      </c>
      <c r="H76" t="s">
        <v>100</v>
      </c>
      <c r="I76" t="s">
        <v>101</v>
      </c>
      <c r="J76" t="s">
        <v>1140</v>
      </c>
      <c r="K76" t="s">
        <v>1141</v>
      </c>
      <c r="L76" t="s">
        <v>3438</v>
      </c>
      <c r="M76" t="s">
        <v>109</v>
      </c>
      <c r="N76" t="s">
        <v>109</v>
      </c>
      <c r="O76" t="s">
        <v>100</v>
      </c>
      <c r="P76" t="s">
        <v>100</v>
      </c>
      <c r="Q76" t="s">
        <v>101</v>
      </c>
      <c r="R76" t="s">
        <v>1140</v>
      </c>
      <c r="S76" t="s">
        <v>1141</v>
      </c>
      <c r="T76" t="s">
        <v>3250</v>
      </c>
      <c r="U76" t="s">
        <v>3251</v>
      </c>
      <c r="V76" t="s">
        <v>578</v>
      </c>
      <c r="W76" t="s">
        <v>3252</v>
      </c>
      <c r="X76" t="s">
        <v>3253</v>
      </c>
      <c r="Y76" t="s">
        <v>3254</v>
      </c>
      <c r="Z76" t="s">
        <v>858</v>
      </c>
      <c r="AA76" t="s">
        <v>858</v>
      </c>
      <c r="AB76" t="s">
        <v>578</v>
      </c>
      <c r="AC76" t="s">
        <v>62</v>
      </c>
      <c r="AD76" t="s">
        <v>62</v>
      </c>
      <c r="AE76" t="s">
        <v>62</v>
      </c>
      <c r="AF76" t="s">
        <v>3545</v>
      </c>
      <c r="AG76" t="s">
        <v>3546</v>
      </c>
      <c r="AH76" t="s">
        <v>3547</v>
      </c>
      <c r="AI76" t="s">
        <v>3546</v>
      </c>
      <c r="AJ76" t="s">
        <v>3547</v>
      </c>
      <c r="AK76" t="s">
        <v>3546</v>
      </c>
      <c r="AL76" t="s">
        <v>3257</v>
      </c>
    </row>
    <row r="77" spans="1:38" ht="11.25" customHeight="1">
      <c r="A77" t="s">
        <v>22</v>
      </c>
      <c r="B77" t="s">
        <v>48</v>
      </c>
      <c r="C77" t="s">
        <v>50</v>
      </c>
      <c r="D77" t="s">
        <v>22</v>
      </c>
      <c r="E77" t="s">
        <v>3548</v>
      </c>
      <c r="F77" t="s">
        <v>1139</v>
      </c>
      <c r="G77" t="s">
        <v>100</v>
      </c>
      <c r="H77" t="s">
        <v>100</v>
      </c>
      <c r="I77" t="s">
        <v>101</v>
      </c>
      <c r="J77" t="s">
        <v>1140</v>
      </c>
      <c r="K77" t="s">
        <v>1141</v>
      </c>
      <c r="L77" t="s">
        <v>3446</v>
      </c>
      <c r="M77" t="s">
        <v>3549</v>
      </c>
      <c r="N77" t="s">
        <v>109</v>
      </c>
      <c r="O77" t="s">
        <v>100</v>
      </c>
      <c r="P77" t="s">
        <v>100</v>
      </c>
      <c r="Q77" t="s">
        <v>101</v>
      </c>
      <c r="R77" t="s">
        <v>1140</v>
      </c>
      <c r="S77" t="s">
        <v>1141</v>
      </c>
      <c r="T77" t="s">
        <v>3259</v>
      </c>
      <c r="U77" t="s">
        <v>3260</v>
      </c>
      <c r="V77" t="s">
        <v>3261</v>
      </c>
      <c r="W77" t="s">
        <v>3252</v>
      </c>
      <c r="X77" t="s">
        <v>3262</v>
      </c>
      <c r="Y77" t="s">
        <v>3263</v>
      </c>
      <c r="Z77" t="s">
        <v>3264</v>
      </c>
      <c r="AA77" t="s">
        <v>3265</v>
      </c>
      <c r="AB77" t="s">
        <v>3261</v>
      </c>
      <c r="AC77" t="s">
        <v>62</v>
      </c>
      <c r="AD77" t="s">
        <v>62</v>
      </c>
      <c r="AE77" t="s">
        <v>62</v>
      </c>
      <c r="AF77" t="s">
        <v>3550</v>
      </c>
      <c r="AG77" t="s">
        <v>3551</v>
      </c>
      <c r="AH77" t="s">
        <v>3552</v>
      </c>
      <c r="AI77" t="s">
        <v>3551</v>
      </c>
      <c r="AJ77" t="s">
        <v>3552</v>
      </c>
      <c r="AK77" t="s">
        <v>3551</v>
      </c>
      <c r="AL77" t="s">
        <v>3257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370" hidden="1" customWidth="1"/>
    <col min="2" max="2" width="9.140625" style="2360" hidden="1" customWidth="1"/>
    <col min="3" max="3" width="3" style="2378" customWidth="1"/>
    <col min="4" max="4" width="5" style="2360" customWidth="1"/>
    <col min="5" max="5" width="48" style="2360" customWidth="1"/>
    <col min="6" max="6" width="38" style="2360" customWidth="1"/>
    <col min="7" max="7" width="1.7109375" style="2360" hidden="1" customWidth="1"/>
    <col min="8" max="11" width="19.85546875" style="2360" customWidth="1"/>
    <col min="12" max="12" width="9.7109375" style="2360" customWidth="1"/>
    <col min="13" max="18" width="19.85546875" style="2360" customWidth="1"/>
    <col min="19" max="19" width="1.7109375" style="2360" hidden="1" customWidth="1"/>
    <col min="20" max="22" width="19.85546875" style="2360" hidden="1" customWidth="1"/>
    <col min="23" max="23" width="1.7109375" style="2360" hidden="1" customWidth="1"/>
    <col min="24" max="26" width="19.85546875" style="2360" hidden="1" customWidth="1"/>
    <col min="27" max="27" width="1.7109375" style="2360" hidden="1" customWidth="1"/>
    <col min="28" max="29" width="19.85546875" style="2360" hidden="1" customWidth="1"/>
    <col min="30" max="30" width="1.7109375" style="2360" hidden="1" customWidth="1"/>
    <col min="31" max="31" width="103.7109375" style="2360" customWidth="1"/>
    <col min="32" max="34" width="103.7109375" style="2360" hidden="1" customWidth="1"/>
    <col min="35" max="35" width="3" style="2331" customWidth="1"/>
    <col min="36" max="38" width="10" style="2344" customWidth="1"/>
    <col min="39" max="39" width="13.7109375" style="2344" hidden="1" customWidth="1"/>
    <col min="40" max="40" width="15" style="2344" customWidth="1"/>
    <col min="41" max="41" width="16" style="2344" customWidth="1"/>
    <col min="42" max="45" width="10" style="2344" customWidth="1"/>
    <col min="46" max="46" width="10.5703125" style="2360" hidden="1"/>
  </cols>
  <sheetData>
    <row r="1" spans="1:46" ht="22.5" hidden="1" customHeight="1">
      <c r="E1" s="348"/>
      <c r="F1" s="348"/>
      <c r="G1" s="348"/>
      <c r="H1" s="2541" t="s">
        <v>351</v>
      </c>
      <c r="I1" s="2541"/>
      <c r="J1" s="2541"/>
      <c r="K1" s="2541"/>
      <c r="L1" s="2541"/>
      <c r="M1" s="2541"/>
      <c r="N1" s="2541"/>
      <c r="O1" s="2541"/>
      <c r="P1" s="2541"/>
      <c r="Q1" s="2541"/>
      <c r="R1" s="2541"/>
      <c r="T1" s="2541" t="s">
        <v>352</v>
      </c>
      <c r="U1" s="2541"/>
      <c r="V1" s="2541"/>
      <c r="X1" s="2541" t="s">
        <v>353</v>
      </c>
      <c r="Y1" s="2541"/>
      <c r="Z1" s="2541"/>
      <c r="AB1" s="2541" t="s">
        <v>354</v>
      </c>
      <c r="AC1" s="2541"/>
      <c r="AT1" s="383" t="s">
        <v>14</v>
      </c>
    </row>
    <row r="2" spans="1:46" ht="14.25" hidden="1" customHeight="1">
      <c r="AT2" s="383">
        <v>0</v>
      </c>
    </row>
    <row r="3" spans="1:46" s="2332"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86"/>
      <c r="F4" s="2486"/>
      <c r="G4" s="2486"/>
      <c r="H4" s="2486"/>
      <c r="I4" s="2486"/>
      <c r="J4" s="2486"/>
      <c r="K4" s="2486"/>
      <c r="L4" s="2486"/>
      <c r="M4" s="2486"/>
      <c r="N4" s="2486"/>
      <c r="O4" s="2486"/>
      <c r="P4" s="2486"/>
      <c r="Q4" s="2486"/>
      <c r="R4" s="2487"/>
      <c r="S4" s="779"/>
      <c r="T4" s="635"/>
      <c r="U4" s="635"/>
      <c r="V4" s="635"/>
      <c r="W4" s="635"/>
      <c r="X4" s="635"/>
      <c r="Y4" s="635"/>
      <c r="Z4" s="635"/>
      <c r="AA4" s="635"/>
      <c r="AB4" s="635"/>
      <c r="AC4" s="635"/>
      <c r="AD4" s="635"/>
      <c r="AE4" s="427"/>
      <c r="AF4" s="427"/>
      <c r="AG4" s="427"/>
      <c r="AH4" s="427"/>
      <c r="AI4" s="424"/>
      <c r="AT4" s="383">
        <v>38</v>
      </c>
    </row>
    <row r="5" spans="1:46" s="2360" customFormat="1" ht="18" customHeight="1">
      <c r="A5" s="693"/>
      <c r="C5" s="752"/>
      <c r="D5" s="2538" t="str">
        <f>IF(org=0,"Не определено",org)</f>
        <v>ООО "Пятигорсктеплосервис"</v>
      </c>
      <c r="E5" s="2539"/>
      <c r="F5" s="2539"/>
      <c r="G5" s="2539"/>
      <c r="H5" s="2539"/>
      <c r="I5" s="2539"/>
      <c r="J5" s="2539"/>
      <c r="K5" s="2539"/>
      <c r="L5" s="2539"/>
      <c r="M5" s="2539"/>
      <c r="N5" s="2539"/>
      <c r="O5" s="2539"/>
      <c r="P5" s="2539"/>
      <c r="Q5" s="2539"/>
      <c r="R5" s="2540"/>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33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529" t="s">
        <v>299</v>
      </c>
      <c r="E7" s="2542"/>
      <c r="F7" s="2542"/>
      <c r="G7" s="2542"/>
      <c r="H7" s="2542"/>
      <c r="I7" s="2542"/>
      <c r="J7" s="2542"/>
      <c r="K7" s="2542"/>
      <c r="L7" s="2542"/>
      <c r="M7" s="2542"/>
      <c r="N7" s="2542"/>
      <c r="O7" s="2542"/>
      <c r="P7" s="2542"/>
      <c r="Q7" s="2542"/>
      <c r="R7" s="2542"/>
      <c r="S7" s="2542"/>
      <c r="T7" s="2542"/>
      <c r="U7" s="2542"/>
      <c r="V7" s="2542"/>
      <c r="W7" s="2542"/>
      <c r="X7" s="2542"/>
      <c r="Y7" s="2542"/>
      <c r="Z7" s="2542"/>
      <c r="AA7" s="2542"/>
      <c r="AB7" s="2542"/>
      <c r="AC7" s="2542"/>
      <c r="AD7" s="2543"/>
      <c r="AE7" s="2492" t="s">
        <v>300</v>
      </c>
      <c r="AF7" s="2492" t="s">
        <v>300</v>
      </c>
      <c r="AG7" s="2492" t="s">
        <v>300</v>
      </c>
      <c r="AH7" s="2492" t="s">
        <v>300</v>
      </c>
      <c r="AT7" s="383">
        <v>14</v>
      </c>
    </row>
    <row r="8" spans="1:46" ht="27.4" customHeight="1">
      <c r="C8" s="386"/>
      <c r="D8" s="2435" t="s">
        <v>88</v>
      </c>
      <c r="E8" s="2492" t="str">
        <f>"Наименование "&amp;IF(TEMPLATE_SPHERE&lt;&gt;"HEAT","централизованной ","")&amp;"системы "&amp;TEMPLATE_SPHERE_RUS</f>
        <v>Наименование системы теплоснабжения</v>
      </c>
      <c r="F8" s="2492" t="str">
        <f>IF(TEMPLATE_SPHERE&lt;&gt;"HEAT","Регулируемый вид деятельности","Вид регулируемой деятельности")</f>
        <v>Вид регулируемой деятельности</v>
      </c>
      <c r="G8" s="758"/>
      <c r="H8" s="2530" t="s">
        <v>356</v>
      </c>
      <c r="I8" s="2534" t="s">
        <v>357</v>
      </c>
      <c r="J8" s="2492" t="s">
        <v>358</v>
      </c>
      <c r="K8" s="2492"/>
      <c r="L8" s="2492"/>
      <c r="M8" s="2529"/>
      <c r="N8" s="2492" t="s">
        <v>359</v>
      </c>
      <c r="O8" s="2492"/>
      <c r="P8" s="2492" t="s">
        <v>360</v>
      </c>
      <c r="Q8" s="2492"/>
      <c r="R8" s="2532" t="s">
        <v>361</v>
      </c>
      <c r="S8" s="754"/>
      <c r="T8" s="2530" t="s">
        <v>362</v>
      </c>
      <c r="U8" s="2530" t="s">
        <v>363</v>
      </c>
      <c r="V8" s="2530" t="s">
        <v>364</v>
      </c>
      <c r="W8" s="756"/>
      <c r="X8" s="2530" t="s">
        <v>365</v>
      </c>
      <c r="Y8" s="2530" t="s">
        <v>366</v>
      </c>
      <c r="Z8" s="2530" t="s">
        <v>367</v>
      </c>
      <c r="AA8" s="756"/>
      <c r="AB8" s="2530" t="s">
        <v>368</v>
      </c>
      <c r="AC8" s="2530" t="s">
        <v>361</v>
      </c>
      <c r="AD8" s="756"/>
      <c r="AE8" s="2492"/>
      <c r="AF8" s="2492"/>
      <c r="AG8" s="2492"/>
      <c r="AH8" s="2492"/>
      <c r="AT8" s="383">
        <v>26</v>
      </c>
    </row>
    <row r="9" spans="1:46" ht="46.15" customHeight="1">
      <c r="C9" s="386"/>
      <c r="D9" s="2435"/>
      <c r="E9" s="2492"/>
      <c r="F9" s="2492"/>
      <c r="G9" s="759"/>
      <c r="H9" s="2531"/>
      <c r="I9" s="2535"/>
      <c r="J9" s="361" t="s">
        <v>369</v>
      </c>
      <c r="K9" s="361" t="s">
        <v>370</v>
      </c>
      <c r="L9" s="361" t="s">
        <v>371</v>
      </c>
      <c r="M9" s="367" t="s">
        <v>372</v>
      </c>
      <c r="N9" s="361" t="s">
        <v>373</v>
      </c>
      <c r="O9" s="361" t="s">
        <v>372</v>
      </c>
      <c r="P9" s="361" t="s">
        <v>374</v>
      </c>
      <c r="Q9" s="361" t="s">
        <v>372</v>
      </c>
      <c r="R9" s="2533"/>
      <c r="S9" s="755"/>
      <c r="T9" s="2531"/>
      <c r="U9" s="2531"/>
      <c r="V9" s="2531"/>
      <c r="W9" s="757"/>
      <c r="X9" s="2531"/>
      <c r="Y9" s="2531"/>
      <c r="Z9" s="2531"/>
      <c r="AA9" s="757"/>
      <c r="AB9" s="2531"/>
      <c r="AC9" s="2531"/>
      <c r="AD9" s="757"/>
      <c r="AE9" s="2492"/>
      <c r="AF9" s="2492"/>
      <c r="AG9" s="2492"/>
      <c r="AH9" s="249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335"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1" t="s">
        <v>22</v>
      </c>
      <c r="F12" s="781"/>
      <c r="G12" s="782"/>
      <c r="H12" s="1692"/>
      <c r="I12" s="1692"/>
      <c r="J12" s="369"/>
      <c r="K12" s="1775"/>
      <c r="L12" s="368"/>
      <c r="M12" s="1775"/>
      <c r="N12" s="369"/>
      <c r="O12" s="1775"/>
      <c r="P12" s="369"/>
      <c r="Q12" s="1775"/>
      <c r="R12" s="369"/>
      <c r="S12" s="780"/>
      <c r="T12" s="1692"/>
      <c r="U12" s="369"/>
      <c r="V12" s="369"/>
      <c r="W12" s="757"/>
      <c r="X12" s="1692"/>
      <c r="Y12" s="369"/>
      <c r="Z12" s="369"/>
      <c r="AA12" s="757"/>
      <c r="AB12" s="1692"/>
      <c r="AC12" s="369"/>
      <c r="AD12" s="757"/>
      <c r="AE12" s="2536" t="s">
        <v>376</v>
      </c>
      <c r="AF12" s="2536" t="s">
        <v>377</v>
      </c>
      <c r="AG12" s="2536" t="s">
        <v>378</v>
      </c>
      <c r="AH12" s="2536" t="s">
        <v>379</v>
      </c>
      <c r="AI12" s="383"/>
      <c r="AM12" s="447"/>
      <c r="AP12" s="436" t="s">
        <v>380</v>
      </c>
      <c r="AQ12" s="436" t="s">
        <v>380</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537"/>
      <c r="AF13" s="2537"/>
      <c r="AG13" s="2537"/>
      <c r="AH13" s="253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394"/>
  </cols>
  <sheetData>
    <row r="1" spans="1:2" ht="11.25" customHeight="1">
      <c r="A1" s="120" t="s">
        <v>131</v>
      </c>
      <c r="B1" s="120" t="s">
        <v>3553</v>
      </c>
    </row>
    <row r="2" spans="1:2" ht="11.25" customHeight="1">
      <c r="A2" s="2393" t="s">
        <v>98</v>
      </c>
      <c r="B2" s="2393" t="s">
        <v>3554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397"/>
    <col min="2" max="2" width="65.28515625" style="2397" customWidth="1"/>
  </cols>
  <sheetData>
    <row r="1" spans="1:2" ht="11.25" customHeight="1">
      <c r="A1" s="765" t="s">
        <v>3555</v>
      </c>
      <c r="B1" s="765" t="s">
        <v>3556</v>
      </c>
    </row>
    <row r="2" spans="1:2" ht="11.25" customHeight="1">
      <c r="A2" s="765">
        <v>4213775</v>
      </c>
      <c r="B2" s="765" t="s">
        <v>1380</v>
      </c>
    </row>
    <row r="3" spans="1:2" ht="11.25" customHeight="1">
      <c r="A3" s="765">
        <v>4213784</v>
      </c>
      <c r="B3" s="765" t="s">
        <v>1412</v>
      </c>
    </row>
    <row r="4" spans="1:2" ht="11.25" customHeight="1">
      <c r="A4" s="765">
        <v>4213781</v>
      </c>
      <c r="B4" s="765" t="s">
        <v>1405</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1542</v>
      </c>
    </row>
    <row r="10" spans="1:2" ht="11.25" customHeight="1">
      <c r="A10" s="765">
        <v>4213783</v>
      </c>
      <c r="B10" s="765" t="s">
        <v>1557</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397"/>
    <col min="2" max="2" width="65.28515625" style="2397" customWidth="1"/>
  </cols>
  <sheetData>
    <row r="1" spans="1:2" ht="11.25" customHeight="1">
      <c r="A1" s="765" t="s">
        <v>3555</v>
      </c>
      <c r="B1" s="765" t="s">
        <v>3557</v>
      </c>
    </row>
    <row r="2" spans="1:2" ht="11.25" customHeight="1">
      <c r="A2" s="765" t="s">
        <v>3558</v>
      </c>
      <c r="B2" s="765" t="s">
        <v>1652</v>
      </c>
    </row>
    <row r="3" spans="1:2" ht="11.25" customHeight="1">
      <c r="A3" s="765" t="s">
        <v>3559</v>
      </c>
      <c r="B3" s="765" t="s">
        <v>1662</v>
      </c>
    </row>
    <row r="4" spans="1:2" ht="11.25" customHeight="1">
      <c r="A4" s="765" t="s">
        <v>3560</v>
      </c>
      <c r="B4" s="765" t="s">
        <v>1671</v>
      </c>
    </row>
    <row r="5" spans="1:2" ht="11.25" customHeight="1">
      <c r="A5" s="765" t="s">
        <v>3561</v>
      </c>
      <c r="B5" s="765" t="s">
        <v>1680</v>
      </c>
    </row>
    <row r="6" spans="1:2" ht="11.25" customHeight="1">
      <c r="A6" s="765" t="s">
        <v>3562</v>
      </c>
      <c r="B6" s="765" t="s">
        <v>1686</v>
      </c>
    </row>
    <row r="7" spans="1:2" ht="11.25" customHeight="1">
      <c r="A7" s="765" t="s">
        <v>3563</v>
      </c>
      <c r="B7" s="765" t="s">
        <v>1694</v>
      </c>
    </row>
    <row r="8" spans="1:2" ht="11.25" customHeight="1">
      <c r="A8" s="765" t="s">
        <v>3564</v>
      </c>
      <c r="B8" s="765" t="s">
        <v>1700</v>
      </c>
    </row>
    <row r="9" spans="1:2" ht="11.25" customHeight="1">
      <c r="A9" s="765" t="s">
        <v>3565</v>
      </c>
      <c r="B9" s="765" t="s">
        <v>1706</v>
      </c>
    </row>
    <row r="10" spans="1:2" ht="11.25" customHeight="1">
      <c r="A10" s="765" t="s">
        <v>3566</v>
      </c>
      <c r="B10" s="765" t="s">
        <v>1710</v>
      </c>
    </row>
    <row r="11" spans="1:2" ht="11.25" customHeight="1">
      <c r="A11" s="765" t="s">
        <v>3567</v>
      </c>
      <c r="B11" s="765" t="s">
        <v>1717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4"/>
  <sheetViews>
    <sheetView showGridLines="0" workbookViewId="0"/>
  </sheetViews>
  <sheetFormatPr defaultRowHeight="11.25" customHeight="1"/>
  <sheetData>
    <row r="1" spans="1:7" ht="11.25" customHeight="1">
      <c r="A1" s="309" t="s">
        <v>3115</v>
      </c>
      <c r="B1" s="309" t="s">
        <v>3116</v>
      </c>
      <c r="C1" s="309" t="s">
        <v>3117</v>
      </c>
      <c r="D1" s="309" t="s">
        <v>3118</v>
      </c>
      <c r="E1" t="s">
        <v>3119</v>
      </c>
      <c r="F1" t="s">
        <v>3120</v>
      </c>
      <c r="G1" t="s">
        <v>3121</v>
      </c>
    </row>
    <row r="2" spans="1:7" ht="11.25" customHeight="1">
      <c r="A2" t="s">
        <v>16</v>
      </c>
      <c r="B2" t="s">
        <v>3122</v>
      </c>
      <c r="C2" t="s">
        <v>3123</v>
      </c>
      <c r="D2" t="s">
        <v>3122</v>
      </c>
      <c r="E2" t="s">
        <v>3123</v>
      </c>
      <c r="F2" t="s">
        <v>3124</v>
      </c>
      <c r="G2" t="s">
        <v>109</v>
      </c>
    </row>
    <row r="3" spans="1:7" ht="11.25" customHeight="1">
      <c r="A3" t="s">
        <v>16</v>
      </c>
      <c r="B3" t="s">
        <v>3125</v>
      </c>
      <c r="C3" t="s">
        <v>3126</v>
      </c>
      <c r="D3" t="s">
        <v>3125</v>
      </c>
      <c r="E3" t="s">
        <v>3126</v>
      </c>
      <c r="F3" t="s">
        <v>3124</v>
      </c>
      <c r="G3" t="s">
        <v>110</v>
      </c>
    </row>
    <row r="4" spans="1:7" ht="11.25" customHeight="1">
      <c r="A4" t="s">
        <v>16</v>
      </c>
      <c r="B4" t="s">
        <v>3127</v>
      </c>
      <c r="C4" t="s">
        <v>3128</v>
      </c>
      <c r="D4" t="s">
        <v>3127</v>
      </c>
      <c r="E4" t="s">
        <v>3128</v>
      </c>
      <c r="F4" t="s">
        <v>3124</v>
      </c>
      <c r="G4" t="s">
        <v>90</v>
      </c>
    </row>
    <row r="5" spans="1:7" ht="11.25" customHeight="1">
      <c r="A5" t="s">
        <v>16</v>
      </c>
      <c r="B5" t="s">
        <v>3129</v>
      </c>
      <c r="C5" t="s">
        <v>3130</v>
      </c>
      <c r="D5" t="s">
        <v>3129</v>
      </c>
      <c r="E5" t="s">
        <v>3130</v>
      </c>
      <c r="F5" t="s">
        <v>3124</v>
      </c>
      <c r="G5" t="s">
        <v>91</v>
      </c>
    </row>
    <row r="6" spans="1:7" ht="11.25" customHeight="1">
      <c r="A6" t="s">
        <v>16</v>
      </c>
      <c r="B6" t="s">
        <v>3131</v>
      </c>
      <c r="C6" t="s">
        <v>3132</v>
      </c>
      <c r="D6" t="s">
        <v>3131</v>
      </c>
      <c r="E6" t="s">
        <v>3132</v>
      </c>
      <c r="F6" t="s">
        <v>3133</v>
      </c>
      <c r="G6" t="s">
        <v>111</v>
      </c>
    </row>
    <row r="7" spans="1:7" ht="11.25" customHeight="1">
      <c r="A7" t="s">
        <v>16</v>
      </c>
      <c r="B7" t="s">
        <v>3134</v>
      </c>
      <c r="C7" t="s">
        <v>3135</v>
      </c>
      <c r="D7" t="s">
        <v>3134</v>
      </c>
      <c r="E7" t="s">
        <v>3135</v>
      </c>
      <c r="F7" t="s">
        <v>3124</v>
      </c>
      <c r="G7" t="s">
        <v>92</v>
      </c>
    </row>
    <row r="8" spans="1:7" ht="11.25" customHeight="1">
      <c r="A8" t="s">
        <v>16</v>
      </c>
      <c r="B8" t="s">
        <v>3136</v>
      </c>
      <c r="C8" t="s">
        <v>3137</v>
      </c>
      <c r="D8" t="s">
        <v>3136</v>
      </c>
      <c r="E8" t="s">
        <v>3137</v>
      </c>
      <c r="F8" t="s">
        <v>3124</v>
      </c>
      <c r="G8" t="s">
        <v>93</v>
      </c>
    </row>
    <row r="9" spans="1:7" ht="11.25" customHeight="1">
      <c r="A9" t="s">
        <v>16</v>
      </c>
      <c r="B9" t="s">
        <v>3138</v>
      </c>
      <c r="C9" t="s">
        <v>3139</v>
      </c>
      <c r="D9" t="s">
        <v>3138</v>
      </c>
      <c r="E9" t="s">
        <v>3139</v>
      </c>
      <c r="F9" t="s">
        <v>3133</v>
      </c>
      <c r="G9" t="s">
        <v>112</v>
      </c>
    </row>
    <row r="10" spans="1:7" ht="11.25" customHeight="1">
      <c r="A10" t="s">
        <v>16</v>
      </c>
      <c r="B10" t="s">
        <v>3140</v>
      </c>
      <c r="C10" t="s">
        <v>3141</v>
      </c>
      <c r="D10" t="s">
        <v>3140</v>
      </c>
      <c r="E10" t="s">
        <v>3141</v>
      </c>
      <c r="F10" t="s">
        <v>3124</v>
      </c>
      <c r="G10" t="s">
        <v>149</v>
      </c>
    </row>
    <row r="11" spans="1:7" ht="11.25" customHeight="1">
      <c r="A11" t="s">
        <v>16</v>
      </c>
      <c r="B11" t="s">
        <v>3142</v>
      </c>
      <c r="C11" t="s">
        <v>3143</v>
      </c>
      <c r="D11" t="s">
        <v>3142</v>
      </c>
      <c r="E11" t="s">
        <v>3143</v>
      </c>
      <c r="F11" t="s">
        <v>3133</v>
      </c>
      <c r="G11" t="s">
        <v>150</v>
      </c>
    </row>
    <row r="12" spans="1:7" ht="11.25" customHeight="1">
      <c r="A12" t="s">
        <v>16</v>
      </c>
      <c r="B12" t="s">
        <v>3144</v>
      </c>
      <c r="C12" t="s">
        <v>3145</v>
      </c>
      <c r="D12" t="s">
        <v>3144</v>
      </c>
      <c r="E12" t="s">
        <v>3145</v>
      </c>
      <c r="F12" t="s">
        <v>3133</v>
      </c>
      <c r="G12" t="s">
        <v>151</v>
      </c>
    </row>
    <row r="13" spans="1:7" ht="11.25" customHeight="1">
      <c r="A13" t="s">
        <v>16</v>
      </c>
      <c r="B13" t="s">
        <v>3146</v>
      </c>
      <c r="C13" t="s">
        <v>3147</v>
      </c>
      <c r="D13" t="s">
        <v>3146</v>
      </c>
      <c r="E13" t="s">
        <v>3147</v>
      </c>
      <c r="F13" t="s">
        <v>3133</v>
      </c>
      <c r="G13" t="s">
        <v>152</v>
      </c>
    </row>
    <row r="14" spans="1:7" ht="11.25" customHeight="1">
      <c r="A14" t="s">
        <v>16</v>
      </c>
      <c r="B14" t="s">
        <v>3148</v>
      </c>
      <c r="C14" t="s">
        <v>3149</v>
      </c>
      <c r="D14" t="s">
        <v>3148</v>
      </c>
      <c r="E14" t="s">
        <v>3149</v>
      </c>
      <c r="F14" t="s">
        <v>3133</v>
      </c>
      <c r="G14" t="s">
        <v>153</v>
      </c>
    </row>
    <row r="15" spans="1:7" ht="11.25" customHeight="1">
      <c r="A15" t="s">
        <v>16</v>
      </c>
      <c r="B15" t="s">
        <v>3150</v>
      </c>
      <c r="C15" t="s">
        <v>3151</v>
      </c>
      <c r="D15" t="s">
        <v>3150</v>
      </c>
      <c r="E15" t="s">
        <v>3151</v>
      </c>
      <c r="F15" t="s">
        <v>3133</v>
      </c>
      <c r="G15" t="s">
        <v>154</v>
      </c>
    </row>
    <row r="16" spans="1:7" ht="11.25" customHeight="1">
      <c r="A16" t="s">
        <v>16</v>
      </c>
      <c r="B16" t="s">
        <v>3152</v>
      </c>
      <c r="C16" t="s">
        <v>3153</v>
      </c>
      <c r="D16" t="s">
        <v>3152</v>
      </c>
      <c r="E16" t="s">
        <v>3153</v>
      </c>
      <c r="F16" t="s">
        <v>3133</v>
      </c>
      <c r="G16" t="s">
        <v>1615</v>
      </c>
    </row>
    <row r="17" spans="1:7" ht="11.25" customHeight="1">
      <c r="A17" t="s">
        <v>16</v>
      </c>
      <c r="B17" t="s">
        <v>100</v>
      </c>
      <c r="C17" t="s">
        <v>101</v>
      </c>
      <c r="D17" t="s">
        <v>100</v>
      </c>
      <c r="E17" t="s">
        <v>101</v>
      </c>
      <c r="F17" t="s">
        <v>3133</v>
      </c>
      <c r="G17" t="s">
        <v>99</v>
      </c>
    </row>
    <row r="18" spans="1:7" ht="11.25" customHeight="1">
      <c r="A18" t="s">
        <v>16</v>
      </c>
      <c r="B18" t="s">
        <v>3154</v>
      </c>
      <c r="C18" t="s">
        <v>3155</v>
      </c>
      <c r="D18" t="s">
        <v>3154</v>
      </c>
      <c r="E18" t="s">
        <v>3155</v>
      </c>
      <c r="F18" t="s">
        <v>3124</v>
      </c>
      <c r="G18" t="s">
        <v>1632</v>
      </c>
    </row>
    <row r="19" spans="1:7" ht="11.25" customHeight="1">
      <c r="A19" t="s">
        <v>16</v>
      </c>
      <c r="B19" t="s">
        <v>3156</v>
      </c>
      <c r="C19" t="s">
        <v>3157</v>
      </c>
      <c r="D19" t="s">
        <v>3156</v>
      </c>
      <c r="E19" t="s">
        <v>3157</v>
      </c>
      <c r="F19" t="s">
        <v>3133</v>
      </c>
      <c r="G19" t="s">
        <v>1646</v>
      </c>
    </row>
    <row r="20" spans="1:7" ht="11.25" customHeight="1">
      <c r="A20" t="s">
        <v>16</v>
      </c>
      <c r="B20" t="s">
        <v>3158</v>
      </c>
      <c r="C20" t="s">
        <v>3159</v>
      </c>
      <c r="D20" t="s">
        <v>3158</v>
      </c>
      <c r="E20" t="s">
        <v>3159</v>
      </c>
      <c r="F20" t="s">
        <v>3124</v>
      </c>
      <c r="G20" t="s">
        <v>1658</v>
      </c>
    </row>
    <row r="21" spans="1:7" ht="11.25" customHeight="1">
      <c r="A21" t="s">
        <v>16</v>
      </c>
      <c r="B21" t="s">
        <v>3160</v>
      </c>
      <c r="C21" t="s">
        <v>3161</v>
      </c>
      <c r="D21" t="s">
        <v>3160</v>
      </c>
      <c r="E21" t="s">
        <v>3161</v>
      </c>
      <c r="F21" t="s">
        <v>3133</v>
      </c>
      <c r="G21" t="s">
        <v>1667</v>
      </c>
    </row>
    <row r="22" spans="1:7" ht="11.25" customHeight="1">
      <c r="A22" t="s">
        <v>16</v>
      </c>
      <c r="B22" t="s">
        <v>3162</v>
      </c>
      <c r="C22" t="s">
        <v>3163</v>
      </c>
      <c r="D22" t="s">
        <v>3162</v>
      </c>
      <c r="E22" t="s">
        <v>3163</v>
      </c>
      <c r="F22" t="s">
        <v>3124</v>
      </c>
      <c r="G22" t="s">
        <v>1683</v>
      </c>
    </row>
    <row r="23" spans="1:7" ht="11.25" customHeight="1">
      <c r="A23" t="s">
        <v>16</v>
      </c>
      <c r="B23" t="s">
        <v>3164</v>
      </c>
      <c r="C23" t="s">
        <v>3165</v>
      </c>
      <c r="D23" t="s">
        <v>3164</v>
      </c>
      <c r="E23" t="s">
        <v>3165</v>
      </c>
      <c r="F23" t="s">
        <v>3133</v>
      </c>
      <c r="G23" t="s">
        <v>1690</v>
      </c>
    </row>
    <row r="24" spans="1:7" ht="11.25" customHeight="1">
      <c r="A24" t="s">
        <v>16</v>
      </c>
      <c r="B24" t="s">
        <v>3166</v>
      </c>
      <c r="C24" t="s">
        <v>3167</v>
      </c>
      <c r="D24" t="s">
        <v>3166</v>
      </c>
      <c r="E24" t="s">
        <v>3167</v>
      </c>
      <c r="F24" t="s">
        <v>3124</v>
      </c>
      <c r="G24" t="s">
        <v>1698</v>
      </c>
    </row>
    <row r="25" spans="1:7" ht="11.25" customHeight="1">
      <c r="A25" t="s">
        <v>16</v>
      </c>
      <c r="B25" t="s">
        <v>3168</v>
      </c>
      <c r="C25" t="s">
        <v>3169</v>
      </c>
      <c r="D25" t="s">
        <v>3168</v>
      </c>
      <c r="E25" t="s">
        <v>3169</v>
      </c>
      <c r="F25" t="s">
        <v>3124</v>
      </c>
      <c r="G25" t="s">
        <v>1704</v>
      </c>
    </row>
    <row r="26" spans="1:7" ht="11.25" customHeight="1">
      <c r="A26" t="s">
        <v>16</v>
      </c>
      <c r="B26" t="s">
        <v>3170</v>
      </c>
      <c r="C26" t="s">
        <v>3171</v>
      </c>
      <c r="D26" t="s">
        <v>3170</v>
      </c>
      <c r="E26" t="s">
        <v>3171</v>
      </c>
      <c r="F26" t="s">
        <v>3124</v>
      </c>
      <c r="G26" t="s">
        <v>1708</v>
      </c>
    </row>
    <row r="27" spans="1:7" ht="11.25" customHeight="1">
      <c r="A27" t="s">
        <v>16</v>
      </c>
      <c r="B27" t="s">
        <v>3172</v>
      </c>
      <c r="C27" t="s">
        <v>3173</v>
      </c>
      <c r="D27" t="s">
        <v>3172</v>
      </c>
      <c r="E27" t="s">
        <v>3173</v>
      </c>
      <c r="F27" t="s">
        <v>3124</v>
      </c>
      <c r="G27" t="s">
        <v>1713</v>
      </c>
    </row>
    <row r="28" spans="1:7" ht="11.25" customHeight="1">
      <c r="A28" t="s">
        <v>16</v>
      </c>
      <c r="B28" t="s">
        <v>3174</v>
      </c>
      <c r="C28" t="s">
        <v>3175</v>
      </c>
      <c r="D28" t="s">
        <v>3174</v>
      </c>
      <c r="E28" t="s">
        <v>3175</v>
      </c>
      <c r="F28" t="s">
        <v>3124</v>
      </c>
      <c r="G28" t="s">
        <v>1721</v>
      </c>
    </row>
    <row r="29" spans="1:7" ht="11.25" customHeight="1">
      <c r="A29" t="s">
        <v>16</v>
      </c>
      <c r="B29" t="s">
        <v>3176</v>
      </c>
      <c r="C29" t="s">
        <v>3177</v>
      </c>
      <c r="D29" t="s">
        <v>3176</v>
      </c>
      <c r="E29" t="s">
        <v>3177</v>
      </c>
      <c r="F29" t="s">
        <v>3133</v>
      </c>
      <c r="G29" t="s">
        <v>1723</v>
      </c>
    </row>
    <row r="30" spans="1:7" ht="11.25" customHeight="1">
      <c r="A30" t="s">
        <v>16</v>
      </c>
      <c r="B30" t="s">
        <v>3178</v>
      </c>
      <c r="C30" t="s">
        <v>3179</v>
      </c>
      <c r="D30" t="s">
        <v>3178</v>
      </c>
      <c r="E30" t="s">
        <v>3179</v>
      </c>
      <c r="F30" t="s">
        <v>3124</v>
      </c>
      <c r="G30" t="s">
        <v>1726</v>
      </c>
    </row>
    <row r="31" spans="1:7" ht="11.25" customHeight="1">
      <c r="A31" t="s">
        <v>16</v>
      </c>
      <c r="B31" t="s">
        <v>3180</v>
      </c>
      <c r="C31" t="s">
        <v>3181</v>
      </c>
      <c r="D31" t="s">
        <v>3180</v>
      </c>
      <c r="E31" t="s">
        <v>3181</v>
      </c>
      <c r="F31" t="s">
        <v>3133</v>
      </c>
      <c r="G31" t="s">
        <v>1732</v>
      </c>
    </row>
    <row r="32" spans="1:7" ht="11.25" customHeight="1">
      <c r="A32" t="s">
        <v>16</v>
      </c>
      <c r="B32" t="s">
        <v>3182</v>
      </c>
      <c r="C32" t="s">
        <v>3183</v>
      </c>
      <c r="D32" t="s">
        <v>3182</v>
      </c>
      <c r="E32" t="s">
        <v>3183</v>
      </c>
      <c r="F32" t="s">
        <v>3124</v>
      </c>
      <c r="G32" t="s">
        <v>1734</v>
      </c>
    </row>
    <row r="33" spans="1:7" ht="11.25" customHeight="1">
      <c r="A33" t="s">
        <v>16</v>
      </c>
      <c r="B33" t="s">
        <v>3184</v>
      </c>
      <c r="C33" t="s">
        <v>3185</v>
      </c>
      <c r="D33" t="s">
        <v>3184</v>
      </c>
      <c r="E33" t="s">
        <v>3185</v>
      </c>
      <c r="F33" t="s">
        <v>3133</v>
      </c>
      <c r="G33" t="s">
        <v>1736</v>
      </c>
    </row>
    <row r="34" spans="1:7" ht="11.25" customHeight="1">
      <c r="A34" t="s">
        <v>16</v>
      </c>
      <c r="B34" t="s">
        <v>3186</v>
      </c>
      <c r="C34" t="s">
        <v>3187</v>
      </c>
      <c r="D34" t="s">
        <v>3186</v>
      </c>
      <c r="E34" t="s">
        <v>3187</v>
      </c>
      <c r="F34" t="s">
        <v>3124</v>
      </c>
      <c r="G34" t="s">
        <v>1738</v>
      </c>
    </row>
    <row r="35" spans="1:7" ht="11.25" customHeight="1">
      <c r="A35" t="s">
        <v>16</v>
      </c>
      <c r="B35" t="s">
        <v>3188</v>
      </c>
      <c r="C35" t="s">
        <v>3189</v>
      </c>
      <c r="D35" t="s">
        <v>3188</v>
      </c>
      <c r="E35" t="s">
        <v>3189</v>
      </c>
      <c r="F35" t="s">
        <v>3124</v>
      </c>
      <c r="G35" t="s">
        <v>1743</v>
      </c>
    </row>
    <row r="36" spans="1:7" ht="11.25" customHeight="1">
      <c r="A36" t="s">
        <v>16</v>
      </c>
      <c r="B36" t="s">
        <v>3190</v>
      </c>
      <c r="C36" t="s">
        <v>3191</v>
      </c>
      <c r="D36" t="s">
        <v>3190</v>
      </c>
      <c r="E36" t="s">
        <v>3191</v>
      </c>
      <c r="F36" t="s">
        <v>3133</v>
      </c>
      <c r="G36" t="s">
        <v>1748</v>
      </c>
    </row>
    <row r="37" spans="1:7" ht="11.25" customHeight="1">
      <c r="A37" t="s">
        <v>16</v>
      </c>
      <c r="B37" t="s">
        <v>3192</v>
      </c>
      <c r="C37" t="s">
        <v>3193</v>
      </c>
      <c r="D37" t="s">
        <v>3192</v>
      </c>
      <c r="E37" t="s">
        <v>3193</v>
      </c>
      <c r="F37" t="s">
        <v>3124</v>
      </c>
      <c r="G37" t="s">
        <v>1752</v>
      </c>
    </row>
    <row r="38" spans="1:7" ht="11.25" customHeight="1">
      <c r="A38" t="s">
        <v>16</v>
      </c>
      <c r="B38" t="s">
        <v>3194</v>
      </c>
      <c r="C38" t="s">
        <v>3195</v>
      </c>
      <c r="D38" t="s">
        <v>3194</v>
      </c>
      <c r="E38" t="s">
        <v>3195</v>
      </c>
      <c r="F38" t="s">
        <v>3124</v>
      </c>
      <c r="G38" t="s">
        <v>1760</v>
      </c>
    </row>
    <row r="39" spans="1:7" ht="11.25" customHeight="1">
      <c r="A39" t="s">
        <v>16</v>
      </c>
      <c r="B39" t="s">
        <v>3196</v>
      </c>
      <c r="C39" t="s">
        <v>3197</v>
      </c>
      <c r="D39" t="s">
        <v>3196</v>
      </c>
      <c r="E39" t="s">
        <v>3197</v>
      </c>
      <c r="F39" t="s">
        <v>3133</v>
      </c>
      <c r="G39" t="s">
        <v>1766</v>
      </c>
    </row>
    <row r="40" spans="1:7" ht="11.25" customHeight="1">
      <c r="A40" t="s">
        <v>16</v>
      </c>
      <c r="B40" t="s">
        <v>3198</v>
      </c>
      <c r="C40" t="s">
        <v>3199</v>
      </c>
      <c r="D40" t="s">
        <v>3198</v>
      </c>
      <c r="E40" t="s">
        <v>3199</v>
      </c>
      <c r="F40" t="s">
        <v>3124</v>
      </c>
      <c r="G40" t="s">
        <v>1771</v>
      </c>
    </row>
    <row r="41" spans="1:7" ht="11.25" customHeight="1">
      <c r="A41" t="s">
        <v>16</v>
      </c>
      <c r="B41" t="s">
        <v>3200</v>
      </c>
      <c r="C41" t="s">
        <v>3201</v>
      </c>
      <c r="D41" t="s">
        <v>3200</v>
      </c>
      <c r="E41" t="s">
        <v>3201</v>
      </c>
      <c r="F41" t="s">
        <v>3124</v>
      </c>
      <c r="G41" t="s">
        <v>1775</v>
      </c>
    </row>
    <row r="42" spans="1:7" ht="11.25" customHeight="1">
      <c r="A42" t="s">
        <v>16</v>
      </c>
      <c r="B42" t="s">
        <v>3202</v>
      </c>
      <c r="C42" t="s">
        <v>3203</v>
      </c>
      <c r="D42" t="s">
        <v>3202</v>
      </c>
      <c r="E42" t="s">
        <v>3203</v>
      </c>
      <c r="F42" t="s">
        <v>3124</v>
      </c>
      <c r="G42" t="s">
        <v>1778</v>
      </c>
    </row>
    <row r="43" spans="1:7" ht="11.25" customHeight="1">
      <c r="A43" t="s">
        <v>16</v>
      </c>
      <c r="B43" t="s">
        <v>3204</v>
      </c>
      <c r="C43" t="s">
        <v>3205</v>
      </c>
      <c r="D43" t="s">
        <v>3204</v>
      </c>
      <c r="E43" t="s">
        <v>3205</v>
      </c>
      <c r="F43" t="s">
        <v>3124</v>
      </c>
      <c r="G43" t="s">
        <v>1785</v>
      </c>
    </row>
    <row r="44" spans="1:7" ht="11.25" customHeight="1">
      <c r="A44" t="s">
        <v>16</v>
      </c>
      <c r="B44" t="s">
        <v>3206</v>
      </c>
      <c r="C44" t="s">
        <v>3207</v>
      </c>
      <c r="D44" t="s">
        <v>3206</v>
      </c>
      <c r="E44" t="s">
        <v>3207</v>
      </c>
      <c r="F44" t="s">
        <v>3124</v>
      </c>
      <c r="G44" t="s">
        <v>1794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397"/>
    <col min="2" max="2" width="84.28515625" style="2397" customWidth="1"/>
    <col min="3" max="3" width="9.140625" style="2397"/>
  </cols>
  <sheetData>
    <row r="1" spans="1:3" ht="11.25" customHeight="1">
      <c r="A1" s="765" t="s">
        <v>3568</v>
      </c>
      <c r="B1" s="765" t="s">
        <v>3569</v>
      </c>
      <c r="C1" s="765" t="s">
        <v>1325</v>
      </c>
    </row>
    <row r="2" spans="1:3" ht="11.25" customHeight="1">
      <c r="A2" s="765">
        <v>4189678</v>
      </c>
      <c r="B2" s="765" t="s">
        <v>3570</v>
      </c>
      <c r="C2" s="765" t="s">
        <v>3571</v>
      </c>
    </row>
    <row r="3" spans="1:3" ht="11.25" customHeight="1">
      <c r="A3" s="765">
        <v>4190415</v>
      </c>
      <c r="B3" s="765" t="s">
        <v>3572</v>
      </c>
      <c r="C3" s="765" t="s">
        <v>3571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395" customWidth="1"/>
    <col min="2" max="5" width="9.140625" style="2395"/>
  </cols>
  <sheetData>
    <row r="1" spans="1:5" ht="15" customHeight="1">
      <c r="A1" s="100" t="s">
        <v>3573</v>
      </c>
      <c r="B1" s="100" t="s">
        <v>3574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3575</v>
      </c>
      <c r="B1" t="b">
        <v>1</v>
      </c>
    </row>
    <row r="2" spans="1:2" ht="11.25" customHeight="1">
      <c r="A2" t="s">
        <v>3576</v>
      </c>
      <c r="B2" t="b">
        <v>0</v>
      </c>
    </row>
    <row r="3" spans="1:2" ht="11.25" customHeight="1">
      <c r="A3" t="s">
        <v>3577</v>
      </c>
      <c r="B3" t="b">
        <v>1</v>
      </c>
    </row>
    <row r="4" spans="1:2" ht="11.25" customHeight="1">
      <c r="A4" t="s">
        <v>3578</v>
      </c>
      <c r="B4" t="b">
        <v>0</v>
      </c>
    </row>
    <row r="5" spans="1:2" ht="11.25" customHeight="1">
      <c r="A5" t="s">
        <v>3579</v>
      </c>
      <c r="B5" t="b">
        <v>0</v>
      </c>
    </row>
    <row r="6" spans="1:2" ht="11.25" customHeight="1">
      <c r="A6" t="s">
        <v>3580</v>
      </c>
      <c r="B6" t="b">
        <v>0</v>
      </c>
    </row>
    <row r="7" spans="1:2" ht="11.25" customHeight="1">
      <c r="A7" t="s">
        <v>3581</v>
      </c>
      <c r="B7" t="b">
        <v>0</v>
      </c>
    </row>
    <row r="8" spans="1:2" ht="11.25" customHeight="1">
      <c r="A8" t="s">
        <v>3582</v>
      </c>
      <c r="B8" t="b">
        <v>0</v>
      </c>
    </row>
    <row r="9" spans="1:2" ht="11.25" customHeight="1">
      <c r="A9" t="s">
        <v>3583</v>
      </c>
      <c r="B9" t="b">
        <v>0</v>
      </c>
    </row>
    <row r="10" spans="1:2" ht="11.25" customHeight="1">
      <c r="A10" t="s">
        <v>3584</v>
      </c>
      <c r="B10" t="b">
        <v>1</v>
      </c>
    </row>
    <row r="11" spans="1:2" ht="11.25" customHeight="1">
      <c r="A11" t="s">
        <v>3585</v>
      </c>
      <c r="B11" t="b">
        <v>0</v>
      </c>
    </row>
    <row r="12" spans="1:2" ht="11.25" customHeight="1">
      <c r="A12" t="s">
        <v>3586</v>
      </c>
      <c r="B12" t="b">
        <v>0</v>
      </c>
    </row>
    <row r="13" spans="1:2" ht="11.25" customHeight="1">
      <c r="A13" t="s">
        <v>3587</v>
      </c>
      <c r="B13" t="b">
        <v>0</v>
      </c>
    </row>
    <row r="14" spans="1:2" ht="11.25" customHeight="1">
      <c r="A14" t="s">
        <v>3588</v>
      </c>
      <c r="B14" t="b">
        <v>0</v>
      </c>
    </row>
    <row r="15" spans="1:2" ht="11.25" customHeight="1">
      <c r="A15" t="s">
        <v>3589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396"/>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398" customWidth="1"/>
    <col min="2" max="2" width="21.140625" style="2398" customWidth="1"/>
  </cols>
  <sheetData>
    <row r="1" spans="1:2" ht="11.25" customHeight="1">
      <c r="A1" s="7" t="s">
        <v>3590</v>
      </c>
      <c r="B1" s="7" t="s">
        <v>3591</v>
      </c>
    </row>
    <row r="2" spans="1:2" ht="11.25" customHeight="1">
      <c r="A2" s="3" t="s">
        <v>3592</v>
      </c>
      <c r="B2" s="3" t="s">
        <v>3593</v>
      </c>
    </row>
    <row r="3" spans="1:2" ht="11.25" customHeight="1">
      <c r="A3" s="3" t="s">
        <v>3594</v>
      </c>
      <c r="B3" s="3" t="s">
        <v>3595</v>
      </c>
    </row>
    <row r="4" spans="1:2" ht="11.25" customHeight="1">
      <c r="A4" s="3" t="s">
        <v>3596</v>
      </c>
      <c r="B4" s="3" t="s">
        <v>3597</v>
      </c>
    </row>
    <row r="5" spans="1:2" ht="11.25" customHeight="1">
      <c r="A5" s="3" t="s">
        <v>3598</v>
      </c>
      <c r="B5" s="3" t="s">
        <v>3599</v>
      </c>
    </row>
    <row r="6" spans="1:2" ht="11.25" customHeight="1">
      <c r="A6" s="3" t="s">
        <v>3600</v>
      </c>
      <c r="B6" s="3" t="s">
        <v>3601</v>
      </c>
    </row>
    <row r="7" spans="1:2" ht="11.25" customHeight="1">
      <c r="A7" s="3" t="s">
        <v>3602</v>
      </c>
      <c r="B7" s="3" t="s">
        <v>3603</v>
      </c>
    </row>
    <row r="8" spans="1:2" ht="11.25" customHeight="1">
      <c r="A8" s="3" t="s">
        <v>3604</v>
      </c>
      <c r="B8" s="3" t="s">
        <v>3605</v>
      </c>
    </row>
    <row r="9" spans="1:2" ht="11.25" customHeight="1">
      <c r="A9" s="3" t="s">
        <v>3606</v>
      </c>
      <c r="B9" s="3" t="s">
        <v>3607</v>
      </c>
    </row>
    <row r="10" spans="1:2" ht="11.25" customHeight="1">
      <c r="A10" s="3" t="s">
        <v>3608</v>
      </c>
      <c r="B10" s="3" t="s">
        <v>3609</v>
      </c>
    </row>
    <row r="11" spans="1:2" ht="11.25" customHeight="1">
      <c r="A11" s="3" t="s">
        <v>3610</v>
      </c>
      <c r="B11" s="3" t="s">
        <v>3611</v>
      </c>
    </row>
    <row r="12" spans="1:2" ht="11.25" customHeight="1">
      <c r="A12" s="3" t="s">
        <v>3612</v>
      </c>
      <c r="B12" s="3" t="s">
        <v>3613</v>
      </c>
    </row>
    <row r="13" spans="1:2" ht="11.25" customHeight="1">
      <c r="A13" s="3" t="s">
        <v>3614</v>
      </c>
      <c r="B13" s="3" t="s">
        <v>3615</v>
      </c>
    </row>
    <row r="14" spans="1:2" ht="11.25" customHeight="1">
      <c r="A14" s="3" t="s">
        <v>3616</v>
      </c>
      <c r="B14" s="3" t="s">
        <v>3617</v>
      </c>
    </row>
    <row r="15" spans="1:2" ht="11.25" customHeight="1">
      <c r="A15" s="3" t="s">
        <v>3618</v>
      </c>
      <c r="B15" s="3" t="s">
        <v>3619</v>
      </c>
    </row>
    <row r="16" spans="1:2" ht="11.25" customHeight="1">
      <c r="A16" s="3" t="s">
        <v>3620</v>
      </c>
      <c r="B16" s="3" t="s">
        <v>3621</v>
      </c>
    </row>
    <row r="17" spans="1:2" ht="11.25" customHeight="1">
      <c r="A17" s="3" t="s">
        <v>3622</v>
      </c>
      <c r="B17" s="3" t="s">
        <v>3623</v>
      </c>
    </row>
    <row r="18" spans="1:2" ht="11.25" customHeight="1">
      <c r="A18" s="3" t="s">
        <v>3624</v>
      </c>
      <c r="B18" s="3" t="s">
        <v>3625</v>
      </c>
    </row>
    <row r="19" spans="1:2" ht="11.25" customHeight="1">
      <c r="A19" s="3" t="s">
        <v>3626</v>
      </c>
      <c r="B19" s="3" t="s">
        <v>3627</v>
      </c>
    </row>
    <row r="20" spans="1:2" ht="11.25" customHeight="1">
      <c r="A20" s="3" t="s">
        <v>3628</v>
      </c>
      <c r="B20" s="3" t="s">
        <v>3629</v>
      </c>
    </row>
    <row r="21" spans="1:2" ht="11.25" customHeight="1">
      <c r="A21" s="3" t="s">
        <v>3630</v>
      </c>
      <c r="B21" s="3" t="s">
        <v>3631</v>
      </c>
    </row>
    <row r="22" spans="1:2" ht="11.25" customHeight="1">
      <c r="A22" s="3" t="s">
        <v>3632</v>
      </c>
      <c r="B22" s="3" t="s">
        <v>3633</v>
      </c>
    </row>
    <row r="23" spans="1:2" ht="11.25" customHeight="1">
      <c r="A23" s="3" t="s">
        <v>3634</v>
      </c>
      <c r="B23" s="3" t="s">
        <v>3635</v>
      </c>
    </row>
    <row r="24" spans="1:2" ht="11.25" customHeight="1">
      <c r="A24" s="3" t="s">
        <v>3636</v>
      </c>
      <c r="B24" s="3" t="s">
        <v>3637</v>
      </c>
    </row>
    <row r="25" spans="1:2" ht="11.25" customHeight="1">
      <c r="A25" s="3" t="s">
        <v>3638</v>
      </c>
      <c r="B25" s="3" t="s">
        <v>3639</v>
      </c>
    </row>
    <row r="26" spans="1:2" ht="11.25" customHeight="1">
      <c r="A26" s="3" t="s">
        <v>3640</v>
      </c>
      <c r="B26" s="3" t="s">
        <v>3641</v>
      </c>
    </row>
    <row r="27" spans="1:2" ht="11.25" customHeight="1">
      <c r="A27" s="3" t="s">
        <v>3642</v>
      </c>
      <c r="B27" s="3" t="s">
        <v>3643</v>
      </c>
    </row>
    <row r="28" spans="1:2" ht="11.25" customHeight="1">
      <c r="A28" s="3" t="s">
        <v>3644</v>
      </c>
      <c r="B28" s="3" t="s">
        <v>3645</v>
      </c>
    </row>
    <row r="29" spans="1:2" ht="11.25" customHeight="1">
      <c r="A29" s="3" t="s">
        <v>3646</v>
      </c>
      <c r="B29" s="3" t="s">
        <v>3647</v>
      </c>
    </row>
    <row r="30" spans="1:2" ht="11.25" customHeight="1">
      <c r="A30" s="3" t="s">
        <v>3648</v>
      </c>
      <c r="B30" s="3" t="s">
        <v>3649</v>
      </c>
    </row>
    <row r="31" spans="1:2" ht="11.25" customHeight="1">
      <c r="A31" s="3" t="s">
        <v>3650</v>
      </c>
      <c r="B31" s="3" t="s">
        <v>3651</v>
      </c>
    </row>
    <row r="32" spans="1:2" ht="11.25" customHeight="1">
      <c r="A32" s="3" t="s">
        <v>3652</v>
      </c>
      <c r="B32" s="3" t="s">
        <v>3653</v>
      </c>
    </row>
    <row r="33" spans="1:2" ht="11.25" customHeight="1">
      <c r="A33" s="3" t="s">
        <v>3654</v>
      </c>
      <c r="B33" s="3" t="s">
        <v>3655</v>
      </c>
    </row>
    <row r="34" spans="1:2" ht="11.25" customHeight="1">
      <c r="A34" s="3" t="s">
        <v>3656</v>
      </c>
      <c r="B34" s="3" t="s">
        <v>3657</v>
      </c>
    </row>
    <row r="35" spans="1:2" ht="11.25" customHeight="1">
      <c r="A35" s="3" t="s">
        <v>3658</v>
      </c>
      <c r="B35" s="3" t="s">
        <v>3659</v>
      </c>
    </row>
    <row r="36" spans="1:2" ht="11.25" customHeight="1">
      <c r="A36" s="3" t="s">
        <v>3660</v>
      </c>
      <c r="B36" s="3" t="s">
        <v>3661</v>
      </c>
    </row>
    <row r="37" spans="1:2" ht="11.25" customHeight="1">
      <c r="A37" s="3" t="s">
        <v>3662</v>
      </c>
      <c r="B37" s="3" t="s">
        <v>3663</v>
      </c>
    </row>
    <row r="38" spans="1:2" ht="11.25" customHeight="1">
      <c r="A38" s="3" t="s">
        <v>3664</v>
      </c>
      <c r="B38" s="3" t="s">
        <v>3665</v>
      </c>
    </row>
    <row r="39" spans="1:2" ht="11.25" customHeight="1">
      <c r="A39" s="3" t="s">
        <v>3666</v>
      </c>
      <c r="B39" s="3" t="s">
        <v>3667</v>
      </c>
    </row>
    <row r="40" spans="1:2" ht="11.25" customHeight="1">
      <c r="A40" s="3" t="s">
        <v>3668</v>
      </c>
      <c r="B40" s="3" t="s">
        <v>3669</v>
      </c>
    </row>
    <row r="41" spans="1:2" ht="11.25" customHeight="1">
      <c r="A41" s="3" t="s">
        <v>3670</v>
      </c>
      <c r="B41" s="3" t="s">
        <v>3671</v>
      </c>
    </row>
    <row r="42" spans="1:2" ht="11.25" customHeight="1">
      <c r="A42" s="3" t="s">
        <v>3672</v>
      </c>
      <c r="B42" s="3" t="s">
        <v>3673</v>
      </c>
    </row>
    <row r="43" spans="1:2" ht="11.25" customHeight="1">
      <c r="A43" s="3" t="s">
        <v>3674</v>
      </c>
      <c r="B43" s="3" t="s">
        <v>3675</v>
      </c>
    </row>
    <row r="44" spans="1:2" ht="11.25" customHeight="1">
      <c r="A44" s="3" t="s">
        <v>3676</v>
      </c>
      <c r="B44" s="3" t="s">
        <v>3677</v>
      </c>
    </row>
    <row r="45" spans="1:2" ht="11.25" customHeight="1">
      <c r="A45" s="3" t="s">
        <v>3678</v>
      </c>
      <c r="B45" s="3" t="s">
        <v>3679</v>
      </c>
    </row>
    <row r="46" spans="1:2" ht="11.25" customHeight="1">
      <c r="A46" s="3" t="s">
        <v>3680</v>
      </c>
      <c r="B46" s="3" t="s">
        <v>3681</v>
      </c>
    </row>
    <row r="47" spans="1:2" ht="11.25" customHeight="1">
      <c r="A47" s="3" t="s">
        <v>3682</v>
      </c>
      <c r="B47" s="3" t="s">
        <v>3683</v>
      </c>
    </row>
    <row r="48" spans="1:2" ht="11.25" customHeight="1">
      <c r="A48" s="3" t="s">
        <v>3684</v>
      </c>
      <c r="B48" s="3" t="s">
        <v>3685</v>
      </c>
    </row>
    <row r="49" spans="1:2" ht="11.25" customHeight="1">
      <c r="A49" s="3" t="s">
        <v>3686</v>
      </c>
      <c r="B49" s="3" t="s">
        <v>3687</v>
      </c>
    </row>
    <row r="50" spans="1:2" ht="11.25" customHeight="1">
      <c r="A50" s="3" t="s">
        <v>3688</v>
      </c>
      <c r="B50" s="3" t="s">
        <v>3689</v>
      </c>
    </row>
    <row r="51" spans="1:2" ht="11.25" customHeight="1">
      <c r="A51" s="3" t="s">
        <v>3690</v>
      </c>
      <c r="B51" s="3" t="s">
        <v>3691</v>
      </c>
    </row>
    <row r="52" spans="1:2" ht="11.25" customHeight="1">
      <c r="A52" s="3" t="s">
        <v>3692</v>
      </c>
      <c r="B52" s="3" t="s">
        <v>3693</v>
      </c>
    </row>
    <row r="53" spans="1:2" ht="11.25" customHeight="1">
      <c r="A53" s="3" t="s">
        <v>3694</v>
      </c>
      <c r="B53" s="3" t="s">
        <v>3695</v>
      </c>
    </row>
    <row r="54" spans="1:2" ht="11.25" customHeight="1">
      <c r="A54" s="3" t="s">
        <v>3696</v>
      </c>
      <c r="B54" s="3" t="s">
        <v>3697</v>
      </c>
    </row>
    <row r="55" spans="1:2" ht="11.25" customHeight="1">
      <c r="A55" s="3" t="s">
        <v>3698</v>
      </c>
      <c r="B55" s="3" t="s">
        <v>3699</v>
      </c>
    </row>
    <row r="56" spans="1:2" ht="11.25" customHeight="1">
      <c r="A56" s="3" t="s">
        <v>3700</v>
      </c>
      <c r="B56" s="3" t="s">
        <v>3701</v>
      </c>
    </row>
    <row r="57" spans="1:2" ht="11.25" customHeight="1">
      <c r="A57" s="3" t="s">
        <v>3702</v>
      </c>
      <c r="B57" s="3" t="s">
        <v>3703</v>
      </c>
    </row>
    <row r="58" spans="1:2" ht="11.25" customHeight="1">
      <c r="A58" s="3" t="s">
        <v>3704</v>
      </c>
      <c r="B58" s="3" t="s">
        <v>3705</v>
      </c>
    </row>
    <row r="59" spans="1:2" ht="11.25" customHeight="1">
      <c r="A59" s="3" t="s">
        <v>3706</v>
      </c>
      <c r="B59" s="3" t="s">
        <v>3707</v>
      </c>
    </row>
    <row r="60" spans="1:2" ht="11.25" customHeight="1">
      <c r="A60" s="3" t="s">
        <v>3708</v>
      </c>
      <c r="B60" s="3" t="s">
        <v>3709</v>
      </c>
    </row>
    <row r="61" spans="1:2" ht="11.25" customHeight="1">
      <c r="A61" s="3"/>
      <c r="B61" s="3" t="s">
        <v>3710</v>
      </c>
    </row>
    <row r="62" spans="1:2" ht="11.25" customHeight="1">
      <c r="A62" s="3"/>
      <c r="B62" s="3" t="s">
        <v>3711</v>
      </c>
    </row>
    <row r="63" spans="1:2" ht="11.25" customHeight="1">
      <c r="A63" s="3"/>
      <c r="B63" s="3" t="s">
        <v>3712</v>
      </c>
    </row>
    <row r="64" spans="1:2" ht="11.25" customHeight="1">
      <c r="A64" s="3"/>
      <c r="B64" s="3" t="s">
        <v>3713</v>
      </c>
    </row>
    <row r="65" spans="1:2" ht="11.25" customHeight="1">
      <c r="A65" s="3"/>
      <c r="B65" s="3" t="s">
        <v>3714</v>
      </c>
    </row>
    <row r="66" spans="1:2" ht="11.25" customHeight="1">
      <c r="A66" s="3"/>
      <c r="B66" s="3" t="s">
        <v>3715</v>
      </c>
    </row>
    <row r="67" spans="1:2" ht="11.25" customHeight="1">
      <c r="A67" s="3"/>
      <c r="B67" s="3" t="s">
        <v>3716</v>
      </c>
    </row>
    <row r="68" spans="1:2" ht="11.25" customHeight="1">
      <c r="A68" s="3"/>
      <c r="B68" s="3" t="s">
        <v>3717</v>
      </c>
    </row>
    <row r="69" spans="1:2" ht="11.25" customHeight="1">
      <c r="A69" s="3"/>
      <c r="B69" s="3" t="s">
        <v>3718</v>
      </c>
    </row>
    <row r="70" spans="1:2" ht="11.25" customHeight="1">
      <c r="A70" s="3"/>
      <c r="B70" s="3" t="s">
        <v>3719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398" customWidth="1"/>
    <col min="2" max="2" width="90.7109375" style="2398" customWidth="1"/>
    <col min="3" max="4" width="9.140625" style="2398"/>
  </cols>
  <sheetData>
    <row r="1" spans="2:4" ht="11.25" customHeight="1">
      <c r="B1" s="33" t="s">
        <v>3720</v>
      </c>
    </row>
    <row r="2" spans="2:4" ht="90" customHeight="1">
      <c r="B2" s="34" t="s">
        <v>3721</v>
      </c>
    </row>
    <row r="3" spans="2:4" ht="67.5" customHeight="1">
      <c r="B3" s="34" t="s">
        <v>3722</v>
      </c>
    </row>
    <row r="4" spans="2:4" ht="33.75" customHeight="1">
      <c r="B4" s="34" t="s">
        <v>3723</v>
      </c>
    </row>
    <row r="5" spans="2:4" ht="11.25" customHeight="1">
      <c r="B5" s="34" t="s">
        <v>3724</v>
      </c>
    </row>
    <row r="6" spans="2:4" ht="22.5" customHeight="1">
      <c r="B6" s="34" t="s">
        <v>3725</v>
      </c>
    </row>
    <row r="7" spans="2:4" ht="22.5" customHeight="1">
      <c r="B7" s="34" t="s">
        <v>3726</v>
      </c>
    </row>
    <row r="8" spans="2:4" ht="22.5" customHeight="1">
      <c r="B8" s="34" t="s">
        <v>3727</v>
      </c>
    </row>
    <row r="9" spans="2:4" ht="22.5" customHeight="1">
      <c r="B9" s="34" t="s">
        <v>3728</v>
      </c>
    </row>
    <row r="10" spans="2:4" ht="56.25" customHeight="1">
      <c r="B10" s="34" t="s">
        <v>3729</v>
      </c>
    </row>
    <row r="11" spans="2:4" ht="12.75" customHeight="1">
      <c r="B11" s="97" t="s">
        <v>3730</v>
      </c>
    </row>
    <row r="12" spans="2:4" ht="11.25" customHeight="1">
      <c r="B12" s="33" t="s">
        <v>3731</v>
      </c>
    </row>
    <row r="13" spans="2:4" ht="22.5" customHeight="1">
      <c r="B13" s="34" t="s">
        <v>3732</v>
      </c>
    </row>
    <row r="14" spans="2:4" ht="67.5" customHeight="1">
      <c r="B14" s="34" t="s">
        <v>3733</v>
      </c>
    </row>
    <row r="15" spans="2:4" ht="22.5" customHeight="1">
      <c r="B15" s="34" t="s">
        <v>3734</v>
      </c>
    </row>
    <row r="16" spans="2:4" ht="11.25" customHeight="1">
      <c r="B16" s="33" t="s">
        <v>3735</v>
      </c>
      <c r="D16" s="40"/>
    </row>
    <row r="17" spans="1:2" ht="33.75" customHeight="1">
      <c r="B17" s="34" t="s">
        <v>3736</v>
      </c>
    </row>
    <row r="18" spans="1:2" ht="33.75" customHeight="1">
      <c r="B18" s="34" t="s">
        <v>3737</v>
      </c>
    </row>
    <row r="19" spans="1:2" ht="11.25" customHeight="1">
      <c r="B19" s="34" t="s">
        <v>3738</v>
      </c>
    </row>
    <row r="20" spans="1:2" ht="33.75" customHeight="1">
      <c r="B20" s="34" t="s">
        <v>3739</v>
      </c>
    </row>
    <row r="21" spans="1:2" ht="11.25" customHeight="1">
      <c r="B21" s="33" t="s">
        <v>3740</v>
      </c>
    </row>
    <row r="22" spans="1:2" ht="11.25" customHeight="1">
      <c r="B22" s="34" t="s">
        <v>3741</v>
      </c>
    </row>
    <row r="24" spans="1:2" ht="22.5" customHeight="1">
      <c r="B24" s="99" t="s">
        <v>3742</v>
      </c>
    </row>
    <row r="26" spans="1:2" ht="11.25" customHeight="1">
      <c r="B26" s="33" t="s">
        <v>3743</v>
      </c>
    </row>
    <row r="27" spans="1:2" ht="22.5" customHeight="1">
      <c r="B27" s="98" t="s">
        <v>395</v>
      </c>
    </row>
    <row r="28" spans="1:2" ht="56.25" customHeight="1">
      <c r="B28" s="98" t="s">
        <v>3744</v>
      </c>
    </row>
    <row r="29" spans="1:2" ht="11.25" customHeight="1">
      <c r="B29" s="147" t="s">
        <v>3745</v>
      </c>
    </row>
    <row r="30" spans="1:2" ht="22.5" customHeight="1">
      <c r="B30" s="98" t="s">
        <v>3746</v>
      </c>
    </row>
    <row r="32" spans="1:2" ht="11.25" customHeight="1">
      <c r="A32" s="125"/>
      <c r="B32" s="126" t="s">
        <v>3747</v>
      </c>
    </row>
    <row r="33" spans="1:2" ht="14.25" customHeight="1">
      <c r="A33" s="127">
        <v>1</v>
      </c>
      <c r="B33" s="128" t="s">
        <v>3748</v>
      </c>
    </row>
    <row r="34" spans="1:2" ht="14.25" customHeight="1">
      <c r="A34" s="127">
        <v>2</v>
      </c>
      <c r="B34" s="128" t="s">
        <v>3749</v>
      </c>
    </row>
    <row r="35" spans="1:2" ht="11.25" customHeight="1">
      <c r="B35" s="126" t="s">
        <v>3750</v>
      </c>
    </row>
    <row r="36" spans="1:2" ht="11.25" customHeight="1">
      <c r="B36" s="128" t="s">
        <v>3751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370" hidden="1" customWidth="1"/>
    <col min="2" max="2" width="9.140625" style="2360" hidden="1" customWidth="1"/>
    <col min="3" max="3" width="3" style="2378" customWidth="1"/>
    <col min="4" max="4" width="5" style="2360" customWidth="1"/>
    <col min="5" max="5" width="38" style="2360" customWidth="1"/>
    <col min="6" max="7" width="3" style="2360" customWidth="1"/>
    <col min="8" max="8" width="38" style="2360" customWidth="1"/>
    <col min="9" max="9" width="35" style="2360" customWidth="1"/>
    <col min="10" max="10" width="103" style="2360" customWidth="1"/>
    <col min="11" max="11" width="3" style="2331" customWidth="1"/>
    <col min="12" max="14" width="10" style="2344" customWidth="1"/>
    <col min="15" max="15" width="13" style="2344" customWidth="1"/>
    <col min="16" max="16" width="15" style="2344" customWidth="1"/>
    <col min="17" max="17" width="16" style="2344" customWidth="1"/>
    <col min="18" max="21" width="10" style="2344" customWidth="1"/>
    <col min="22" max="22" width="10.5703125" style="2360" hidden="1"/>
  </cols>
  <sheetData>
    <row r="1" spans="1:22" ht="22.5" hidden="1" customHeight="1">
      <c r="E1" s="348"/>
      <c r="F1" s="348"/>
      <c r="G1" s="348"/>
      <c r="H1" s="2541" t="s">
        <v>351</v>
      </c>
      <c r="I1" s="2541"/>
      <c r="V1" s="1523" t="s">
        <v>14</v>
      </c>
    </row>
    <row r="2" spans="1:22" s="2360" customFormat="1" ht="14.25" hidden="1" customHeight="1">
      <c r="C2" s="1535"/>
      <c r="D2" s="2545" t="s">
        <v>109</v>
      </c>
      <c r="E2" s="2547"/>
      <c r="F2" s="1541"/>
      <c r="G2" s="1536" t="s">
        <v>109</v>
      </c>
      <c r="H2" s="1539"/>
      <c r="I2" s="1537"/>
      <c r="L2" s="1538"/>
      <c r="M2" s="1538"/>
      <c r="N2" s="1538"/>
      <c r="O2" s="1538" t="s">
        <v>381</v>
      </c>
      <c r="P2" s="1538"/>
      <c r="Q2" s="1538"/>
      <c r="R2" s="1540" t="s">
        <v>380</v>
      </c>
      <c r="S2" s="1540" t="s">
        <v>380</v>
      </c>
      <c r="T2" s="1538"/>
      <c r="U2" s="1538"/>
      <c r="V2" s="1534">
        <v>0</v>
      </c>
    </row>
    <row r="3" spans="1:22" s="2360" customFormat="1" ht="14.25" hidden="1" customHeight="1">
      <c r="C3" s="1535"/>
      <c r="D3" s="2546"/>
      <c r="E3" s="2548"/>
      <c r="F3" s="341"/>
      <c r="G3" s="795"/>
      <c r="H3" s="795" t="s">
        <v>382</v>
      </c>
      <c r="I3" s="250"/>
      <c r="L3" s="1538"/>
      <c r="M3" s="1538"/>
      <c r="N3" s="1538"/>
      <c r="O3" s="1538"/>
      <c r="P3" s="1538"/>
      <c r="Q3" s="1538"/>
      <c r="R3" s="1540"/>
      <c r="S3" s="1540"/>
      <c r="T3" s="1538"/>
      <c r="U3" s="1538"/>
      <c r="V3" s="1534">
        <v>0</v>
      </c>
    </row>
    <row r="4" spans="1:22" ht="14.25" hidden="1" customHeight="1">
      <c r="V4" s="1523">
        <v>0</v>
      </c>
    </row>
    <row r="5" spans="1:22" s="2332" customFormat="1" ht="5.25" customHeight="1">
      <c r="C5" s="637"/>
      <c r="D5" s="638"/>
      <c r="E5" s="638"/>
      <c r="F5" s="638"/>
      <c r="G5" s="638"/>
      <c r="H5" s="638" t="s">
        <v>355</v>
      </c>
      <c r="I5" s="638"/>
      <c r="J5" s="638"/>
      <c r="L5" s="1530"/>
      <c r="M5" s="1530"/>
      <c r="N5" s="1530"/>
      <c r="O5" s="1530"/>
      <c r="P5" s="1530"/>
      <c r="Q5" s="1530"/>
      <c r="R5" s="1530"/>
      <c r="S5" s="1530"/>
      <c r="T5" s="1530"/>
      <c r="U5" s="1530"/>
      <c r="V5" s="1529">
        <v>5</v>
      </c>
    </row>
    <row r="6" spans="1:22" ht="29.25" customHeight="1">
      <c r="C6" s="1432"/>
      <c r="D6" s="2544" t="s">
        <v>383</v>
      </c>
      <c r="E6" s="2544"/>
      <c r="F6" s="2544"/>
      <c r="G6" s="2544"/>
      <c r="H6" s="2544"/>
      <c r="I6" s="2544"/>
      <c r="J6" s="427"/>
      <c r="K6" s="1531"/>
      <c r="V6" s="1523">
        <v>28</v>
      </c>
    </row>
    <row r="7" spans="1:22" ht="18" customHeight="1">
      <c r="C7" s="1432"/>
      <c r="D7" s="2516" t="str">
        <f>IF(org=0,"Не определено",org)</f>
        <v>ООО "Пятигорсктеплосервис"</v>
      </c>
      <c r="E7" s="2516"/>
      <c r="F7" s="2516"/>
      <c r="G7" s="2516"/>
      <c r="H7" s="2516"/>
      <c r="I7" s="2516"/>
      <c r="J7" s="427"/>
      <c r="K7" s="1531"/>
      <c r="V7" s="1523">
        <v>17</v>
      </c>
    </row>
    <row r="8" spans="1:22" s="2333" customFormat="1" ht="5.25" customHeight="1">
      <c r="A8" s="1527"/>
      <c r="C8" s="422"/>
      <c r="D8" s="421"/>
      <c r="E8" s="421"/>
      <c r="F8" s="421"/>
      <c r="G8" s="421"/>
      <c r="H8" s="421"/>
      <c r="I8" s="421"/>
      <c r="J8" s="421"/>
      <c r="L8" s="1530"/>
      <c r="M8" s="1530"/>
      <c r="N8" s="1530"/>
      <c r="O8" s="1530"/>
      <c r="P8" s="1530"/>
      <c r="Q8" s="1530"/>
      <c r="R8" s="1530"/>
      <c r="S8" s="1530"/>
      <c r="T8" s="1530"/>
      <c r="U8" s="1530"/>
      <c r="V8" s="1528">
        <v>5</v>
      </c>
    </row>
    <row r="9" spans="1:22" s="2333" customFormat="1" ht="5.25" customHeight="1">
      <c r="A9" s="1527"/>
      <c r="C9" s="422"/>
      <c r="D9" s="421"/>
      <c r="E9" s="421"/>
      <c r="F9" s="421"/>
      <c r="G9" s="421"/>
      <c r="H9" s="421"/>
      <c r="I9" s="421"/>
      <c r="J9" s="421"/>
      <c r="L9" s="1538"/>
      <c r="M9" s="1538"/>
      <c r="N9" s="1538"/>
      <c r="O9" s="1538"/>
      <c r="P9" s="1538"/>
      <c r="Q9" s="1538"/>
      <c r="R9" s="1538"/>
      <c r="S9" s="1538"/>
      <c r="T9" s="1538"/>
      <c r="U9" s="1538"/>
      <c r="V9" s="1528">
        <v>5</v>
      </c>
    </row>
    <row r="10" spans="1:22" ht="14.65" customHeight="1">
      <c r="C10" s="1432"/>
      <c r="D10" s="2529" t="s">
        <v>299</v>
      </c>
      <c r="E10" s="2542"/>
      <c r="F10" s="2542"/>
      <c r="G10" s="2542"/>
      <c r="H10" s="2542"/>
      <c r="I10" s="2542"/>
      <c r="J10" s="2492" t="s">
        <v>300</v>
      </c>
      <c r="V10" s="1523">
        <v>14</v>
      </c>
    </row>
    <row r="11" spans="1:22" ht="27.4" customHeight="1">
      <c r="C11" s="1432"/>
      <c r="D11" s="2435" t="s">
        <v>88</v>
      </c>
      <c r="E11" s="2492" t="s">
        <v>105</v>
      </c>
      <c r="F11" s="2495" t="s">
        <v>88</v>
      </c>
      <c r="G11" s="2496"/>
      <c r="H11" s="2494" t="s">
        <v>384</v>
      </c>
      <c r="I11" s="2494" t="s">
        <v>385</v>
      </c>
      <c r="J11" s="2492"/>
      <c r="V11" s="1523">
        <v>26</v>
      </c>
    </row>
    <row r="12" spans="1:22" ht="14.65" customHeight="1">
      <c r="C12" s="1432"/>
      <c r="D12" s="2435"/>
      <c r="E12" s="2492"/>
      <c r="F12" s="2500"/>
      <c r="G12" s="2501"/>
      <c r="H12" s="2549"/>
      <c r="I12" s="2549"/>
      <c r="J12" s="2492"/>
      <c r="V12" s="1523">
        <v>14</v>
      </c>
    </row>
    <row r="13" spans="1:22" s="2335" customFormat="1" ht="11.25" hidden="1" customHeight="1">
      <c r="C13" s="434"/>
      <c r="D13" s="435" t="s">
        <v>375</v>
      </c>
      <c r="E13" s="435"/>
      <c r="F13" s="435"/>
      <c r="G13" s="435"/>
      <c r="H13" s="433"/>
      <c r="I13" s="433"/>
      <c r="J13" s="371"/>
      <c r="L13" s="1530"/>
      <c r="M13" s="1530"/>
      <c r="N13" s="1530"/>
      <c r="O13" s="1530"/>
      <c r="P13" s="1530"/>
      <c r="Q13" s="1530"/>
      <c r="R13" s="1530"/>
      <c r="S13" s="1530"/>
      <c r="T13" s="1530"/>
      <c r="U13" s="1530"/>
      <c r="V13" s="432">
        <v>0</v>
      </c>
    </row>
    <row r="14" spans="1:22" ht="14.65" customHeight="1">
      <c r="A14" s="1523"/>
      <c r="C14" s="1432"/>
      <c r="D14" s="2545" t="s">
        <v>109</v>
      </c>
      <c r="E14" s="2547"/>
      <c r="F14" s="1533"/>
      <c r="G14" s="1532" t="s">
        <v>109</v>
      </c>
      <c r="H14" s="1539"/>
      <c r="I14" s="1537"/>
      <c r="J14" s="2479" t="s">
        <v>386</v>
      </c>
      <c r="K14" s="1523"/>
      <c r="R14" s="436" t="s">
        <v>380</v>
      </c>
      <c r="S14" s="436" t="s">
        <v>380</v>
      </c>
      <c r="V14" s="1523">
        <v>14</v>
      </c>
    </row>
    <row r="15" spans="1:22" ht="14.65" customHeight="1">
      <c r="A15" s="1523"/>
      <c r="C15" s="1432"/>
      <c r="D15" s="2546"/>
      <c r="E15" s="2548"/>
      <c r="F15" s="341"/>
      <c r="G15" s="795"/>
      <c r="H15" s="795" t="s">
        <v>382</v>
      </c>
      <c r="I15" s="250"/>
      <c r="J15" s="2480"/>
      <c r="K15" s="1523"/>
      <c r="R15" s="436"/>
      <c r="S15" s="436"/>
      <c r="V15" s="1523">
        <v>14</v>
      </c>
    </row>
    <row r="16" spans="1:22" ht="14.65" customHeight="1">
      <c r="A16" s="1523"/>
      <c r="C16" s="1432"/>
      <c r="D16" s="341"/>
      <c r="E16" s="795" t="s">
        <v>122</v>
      </c>
      <c r="F16" s="250"/>
      <c r="G16" s="250"/>
      <c r="H16" s="342"/>
      <c r="I16" s="342"/>
      <c r="J16" s="2481"/>
      <c r="K16" s="1523"/>
      <c r="V16" s="1523">
        <v>14</v>
      </c>
    </row>
    <row r="17" spans="1:22" ht="14.65" customHeight="1">
      <c r="K17" s="1523"/>
      <c r="V17" s="1523">
        <v>14</v>
      </c>
    </row>
    <row r="18" spans="1:22" ht="22.5" hidden="1" customHeight="1">
      <c r="A18" s="1524" t="s">
        <v>82</v>
      </c>
      <c r="B18" s="1523">
        <v>0</v>
      </c>
      <c r="C18" s="387">
        <v>3</v>
      </c>
      <c r="D18" s="1523">
        <v>5</v>
      </c>
      <c r="E18" s="1523">
        <v>38</v>
      </c>
      <c r="F18" s="1523">
        <v>3</v>
      </c>
      <c r="G18" s="1523">
        <v>3</v>
      </c>
      <c r="H18" s="1523">
        <v>38</v>
      </c>
      <c r="I18" s="1523">
        <v>35</v>
      </c>
      <c r="J18" s="1523">
        <v>103</v>
      </c>
      <c r="K18" s="1525">
        <v>3</v>
      </c>
      <c r="L18" s="1530">
        <v>10</v>
      </c>
      <c r="M18" s="1530">
        <v>10</v>
      </c>
      <c r="N18" s="1530">
        <v>10</v>
      </c>
      <c r="O18" s="1530">
        <v>13</v>
      </c>
      <c r="P18" s="1530">
        <v>15</v>
      </c>
      <c r="Q18" s="1530">
        <v>16</v>
      </c>
      <c r="R18" s="1530">
        <v>10</v>
      </c>
      <c r="S18" s="1530">
        <v>10</v>
      </c>
      <c r="T18" s="1530">
        <v>10</v>
      </c>
      <c r="U18" s="1530">
        <v>10</v>
      </c>
      <c r="V18" s="152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plain2</cp:lastModifiedBy>
  <cp:lastPrinted>2013-08-29T08:11:20Z</cp:lastPrinted>
  <dcterms:created xsi:type="dcterms:W3CDTF">2004-05-21T07:18:45Z</dcterms:created>
  <dcterms:modified xsi:type="dcterms:W3CDTF">2024-04-27T10:28:07Z</dcterms:modified>
</cp:coreProperties>
</file>